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40" windowHeight="74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<sst xmlns="http://schemas.openxmlformats.org/spreadsheetml/2006/main" count="435" uniqueCount="196">
  <si>
    <t>CHŁOPCY</t>
  </si>
  <si>
    <t>1. SP RYTWIANY</t>
  </si>
  <si>
    <t>2. SP PSP 1 BUSKO ZDRÓJ</t>
  </si>
  <si>
    <t>3PSP PAWŁÓW</t>
  </si>
  <si>
    <t>4.PSP 1 STASZÓW</t>
  </si>
  <si>
    <t>5.SP TUMLIN</t>
  </si>
  <si>
    <t>6. PSP 2 STASZÓW</t>
  </si>
  <si>
    <t>7. SSP 1 KAZIMIERZA WIELKA</t>
  </si>
  <si>
    <t>PK</t>
  </si>
  <si>
    <t>9. SSP 1 KAZIMIERZA W.</t>
  </si>
  <si>
    <t>NAZWISKO/IMIĘ</t>
  </si>
  <si>
    <t>60m</t>
  </si>
  <si>
    <t>pkt</t>
  </si>
  <si>
    <t>ppal</t>
  </si>
  <si>
    <t>wzwyż</t>
  </si>
  <si>
    <t>w dal</t>
  </si>
  <si>
    <t>1000m</t>
  </si>
  <si>
    <t>I DZIEŃ</t>
  </si>
  <si>
    <t>RAZEM</t>
  </si>
  <si>
    <t>CZOŁBA Marcin</t>
  </si>
  <si>
    <t>BAŁA PIOTR</t>
  </si>
  <si>
    <t>DAMASIEWICZ SZYMON</t>
  </si>
  <si>
    <t>KOZIOŁ SZYMON</t>
  </si>
  <si>
    <t>PAŁKA DAWID</t>
  </si>
  <si>
    <t>DĄBROWSKI MARCEL</t>
  </si>
  <si>
    <t>KĘPSKI DAWID</t>
  </si>
  <si>
    <t>SADŁOCHA IGOR</t>
  </si>
  <si>
    <t>STACHURSKI BŁAŻEJ</t>
  </si>
  <si>
    <t>STĘPLEWSKI IGNACY</t>
  </si>
  <si>
    <t>STRACZYŃSKI IGNACY</t>
  </si>
  <si>
    <t>JÓZWIK KACPER</t>
  </si>
  <si>
    <t>SKORUPA ADAM</t>
  </si>
  <si>
    <t>POCHEĆ PIOTR</t>
  </si>
  <si>
    <t>RADECKI ANTONI</t>
  </si>
  <si>
    <t>CIEPIELEWSKI WOJCIECH</t>
  </si>
  <si>
    <t>SKOWWRON KACPER</t>
  </si>
  <si>
    <t>PALIŚ HUBERT</t>
  </si>
  <si>
    <t>BAZAK GABRIEL</t>
  </si>
  <si>
    <t>ZAMOZIEWICZ ANTONI</t>
  </si>
  <si>
    <t>BĄK KSAWERY</t>
  </si>
  <si>
    <t>ACHTENBERG DOMINIK</t>
  </si>
  <si>
    <t>ZALEWSKI PATRYK</t>
  </si>
  <si>
    <t>KULIG DAWID</t>
  </si>
  <si>
    <t>KAMIZELA OSKAR</t>
  </si>
  <si>
    <t>SIKORA ADAM</t>
  </si>
  <si>
    <t>NIEBUDEK MIKOŁAJ</t>
  </si>
  <si>
    <t>STEFAŃSKI FILIP</t>
  </si>
  <si>
    <t>ADAMKIEWICZ BARTOSZ</t>
  </si>
  <si>
    <t>SZYSZKOWSKI KACPER</t>
  </si>
  <si>
    <t>SZOSTAK KAROL</t>
  </si>
  <si>
    <t>ŻAL WIKTOR</t>
  </si>
  <si>
    <t xml:space="preserve">KURAŚ WIKTOR </t>
  </si>
  <si>
    <t>KLIMCZYK KACPER</t>
  </si>
  <si>
    <t>BOGACKI MATEUSZ</t>
  </si>
  <si>
    <t>CZAJKA WOJCIECH</t>
  </si>
  <si>
    <t>5,00,22</t>
  </si>
  <si>
    <t>MADERAK ADRIAN</t>
  </si>
  <si>
    <t>MICHALSKI MACIEJ</t>
  </si>
  <si>
    <t>MICHALEC KACPER</t>
  </si>
  <si>
    <t>245  pkt</t>
  </si>
  <si>
    <t>BASIAK ERYK  Tumlin</t>
  </si>
  <si>
    <t>MYSIOR ERYK Kazimierza</t>
  </si>
  <si>
    <t>769  pkt</t>
  </si>
  <si>
    <t>765  pkt</t>
  </si>
  <si>
    <t>951  pkt</t>
  </si>
  <si>
    <t>921  pkt</t>
  </si>
  <si>
    <t>739  pkt</t>
  </si>
  <si>
    <t>845  pkt</t>
  </si>
  <si>
    <t>889  pkt</t>
  </si>
  <si>
    <t>SP TUMLIN</t>
  </si>
  <si>
    <t>951 PKT</t>
  </si>
  <si>
    <t>PSP 1 STASZÓW</t>
  </si>
  <si>
    <t>921 PKT</t>
  </si>
  <si>
    <t>PSP RYTWIANY</t>
  </si>
  <si>
    <t>889 PKT</t>
  </si>
  <si>
    <t>PSP 1 BUSKO ZDRÓJ</t>
  </si>
  <si>
    <t>845 PKT</t>
  </si>
  <si>
    <t>SSP KAZIMIERZA WIEL.</t>
  </si>
  <si>
    <t>769 PKT</t>
  </si>
  <si>
    <t>PSP 2 STASZÓW</t>
  </si>
  <si>
    <t>765 PKT</t>
  </si>
  <si>
    <t>PSP PAWŁÓW</t>
  </si>
  <si>
    <t>739 PKT</t>
  </si>
  <si>
    <t>INDYWIDUALNIE</t>
  </si>
  <si>
    <t>PKT</t>
  </si>
  <si>
    <t>SZKOŁA</t>
  </si>
  <si>
    <t>MIEJSCE</t>
  </si>
  <si>
    <t>,</t>
  </si>
  <si>
    <t>NR Start</t>
  </si>
  <si>
    <t>DZIEWCZĘTA</t>
  </si>
  <si>
    <t>600m</t>
  </si>
  <si>
    <t>Nazwisko/imię</t>
  </si>
  <si>
    <t>Wynik</t>
  </si>
  <si>
    <t>NR st</t>
  </si>
  <si>
    <t>Szkoła</t>
  </si>
  <si>
    <t>Miejsce</t>
  </si>
  <si>
    <t>PODSIADŁO NIKOLA</t>
  </si>
  <si>
    <t>DULIŃSKA NATALIA</t>
  </si>
  <si>
    <t>WRÓBEL WIKTORIA</t>
  </si>
  <si>
    <t>TWOREK PATRYCJA</t>
  </si>
  <si>
    <t>DYWAN AMELIA</t>
  </si>
  <si>
    <t>KWASEK SANDRA</t>
  </si>
  <si>
    <t>WOCH NIKOLA</t>
  </si>
  <si>
    <t>BATOR ALICJA</t>
  </si>
  <si>
    <t>GŁOWACKA MARIKA</t>
  </si>
  <si>
    <t>PLEWA DOMINIKA</t>
  </si>
  <si>
    <t>MYŚLIWIEC MAJA</t>
  </si>
  <si>
    <t>SKIBA NATALIA</t>
  </si>
  <si>
    <t>DOBROWSKA MARCELINA</t>
  </si>
  <si>
    <t>JEDYNAK JAGODA</t>
  </si>
  <si>
    <t>POLAKOWSKA MAŁGORZATA</t>
  </si>
  <si>
    <t>SADLIŃSKA ŁUCJA</t>
  </si>
  <si>
    <t>TOMASIK IZABELA</t>
  </si>
  <si>
    <t>MILLER HANNA</t>
  </si>
  <si>
    <t>AGLIANO VIKRORIA</t>
  </si>
  <si>
    <t>LIS EMILKA</t>
  </si>
  <si>
    <t>MAKÓWKA JULIA</t>
  </si>
  <si>
    <t>PRZEWOŻNIAK GABIERA</t>
  </si>
  <si>
    <t>SKAŁABANIA AMELIA</t>
  </si>
  <si>
    <t>SKLARZ MAGDALENA</t>
  </si>
  <si>
    <t>KUBECKA ALEKSANDRA</t>
  </si>
  <si>
    <t>BARTOCHA ZOFIA</t>
  </si>
  <si>
    <t>ŁYCZEK ZUZANNA</t>
  </si>
  <si>
    <t>CZOP MAJA</t>
  </si>
  <si>
    <t>GŁUCH LENA</t>
  </si>
  <si>
    <t>GADOWSKA MAŁG.</t>
  </si>
  <si>
    <t>KULIK MARIA</t>
  </si>
  <si>
    <t>KULIK LENA</t>
  </si>
  <si>
    <t>ORZEŁ ALEKSANDRA</t>
  </si>
  <si>
    <t>WRÓBLEWSKA KAROLINA</t>
  </si>
  <si>
    <t>ZIELIŃSKA WIKTORIA</t>
  </si>
  <si>
    <t>PĘDZIK GABRIELA</t>
  </si>
  <si>
    <t>WOŻNIAK LILDIA</t>
  </si>
  <si>
    <t>WIELIŃSKA LENA</t>
  </si>
  <si>
    <t>BAŁCHANOWSKA NELA</t>
  </si>
  <si>
    <t>KOZAK LILA</t>
  </si>
  <si>
    <t xml:space="preserve">IWAŃSKA WERONIKA </t>
  </si>
  <si>
    <t>MAJ MILENA</t>
  </si>
  <si>
    <t>PRZYTUŁA MAJA</t>
  </si>
  <si>
    <t>ZIELIŃSKA MILENA</t>
  </si>
  <si>
    <t>ŁUKASIK MARIA</t>
  </si>
  <si>
    <t>BACZEWSKA OLIWIA</t>
  </si>
  <si>
    <t>SZTUK MAJA</t>
  </si>
  <si>
    <t>PODRAZA ALEKSANDRA</t>
  </si>
  <si>
    <t>JEKIEŁEK MARTYNA</t>
  </si>
  <si>
    <t>PIĘTA ZUZANNA</t>
  </si>
  <si>
    <t>ZAJĄC MAJA</t>
  </si>
  <si>
    <t>ROGALIŃSKA MARIA</t>
  </si>
  <si>
    <t>BUJANOWSKA JULIA</t>
  </si>
  <si>
    <t>SOWIŃSKA MAJA OLEŚ</t>
  </si>
  <si>
    <t>KOTLARZ MAJA OL</t>
  </si>
  <si>
    <t>BROCKA ALEKSANDRA 2</t>
  </si>
  <si>
    <t>BOREK NATALIA 2 ST</t>
  </si>
  <si>
    <t>TKACZ MAJA NOW</t>
  </si>
  <si>
    <t xml:space="preserve">LUBIENIECKA JOANNA TUM </t>
  </si>
  <si>
    <t>1. SP CZAJKÓW</t>
  </si>
  <si>
    <t>2.SP PSP OLEŚNICA</t>
  </si>
  <si>
    <t>3. PSP 2 STĄPORKÓW</t>
  </si>
  <si>
    <t>4. PSP 1 STASZÓW</t>
  </si>
  <si>
    <t>5. SP NOWINY</t>
  </si>
  <si>
    <t>6.PSP CHYBICE</t>
  </si>
  <si>
    <t>7. SP TUMLIN</t>
  </si>
  <si>
    <t>8. PSP 2 STASZÓW</t>
  </si>
  <si>
    <t>9.SP 33 KIELCE</t>
  </si>
  <si>
    <t>10. PK</t>
  </si>
  <si>
    <t>1077  PKT</t>
  </si>
  <si>
    <t>1087  PKT</t>
  </si>
  <si>
    <t>809  PKT</t>
  </si>
  <si>
    <t>738  PKT</t>
  </si>
  <si>
    <t>846  PKT</t>
  </si>
  <si>
    <t>807 PKT</t>
  </si>
  <si>
    <t>1034  PKT</t>
  </si>
  <si>
    <t>1023  PKT</t>
  </si>
  <si>
    <t>1282  PKT</t>
  </si>
  <si>
    <t>747  PKT</t>
  </si>
  <si>
    <t>Punkty(5)</t>
  </si>
  <si>
    <t>SP 33 KIELCE</t>
  </si>
  <si>
    <t>SP PSP OLEŚNICA</t>
  </si>
  <si>
    <t>SP CZAJKÓW</t>
  </si>
  <si>
    <t xml:space="preserve"> SP TUMLIN</t>
  </si>
  <si>
    <t xml:space="preserve"> PSP 2 STASZÓW</t>
  </si>
  <si>
    <t xml:space="preserve"> SP NOWINY</t>
  </si>
  <si>
    <t xml:space="preserve"> PSP 2 STĄPORKÓW</t>
  </si>
  <si>
    <t>PSP CHYBICE</t>
  </si>
  <si>
    <t xml:space="preserve"> IGRZYSK   DZIECI</t>
  </si>
  <si>
    <t xml:space="preserve">   CZWÓRBOJU    L-A</t>
  </si>
  <si>
    <t>DZIEWCZĄT  i  CHŁOPCÓW</t>
  </si>
  <si>
    <t xml:space="preserve">   rocznik    2010  i  młodsze </t>
  </si>
  <si>
    <t>SZKÓŁ  PODSTAWOWYCH</t>
  </si>
  <si>
    <r>
      <t xml:space="preserve">         </t>
    </r>
    <r>
      <rPr>
        <b/>
        <sz val="16"/>
        <color indexed="8"/>
        <rFont val="Czcionka tekstu podstawowego"/>
        <family val="0"/>
      </rPr>
      <t xml:space="preserve">                    FINAŁ WOJEWÓDZKI</t>
    </r>
  </si>
  <si>
    <t>SG ZAWODÓW JACEK WIĘCKOWSKI</t>
  </si>
  <si>
    <t>SG BIEGÓW TADEUSZ ŚWIT</t>
  </si>
  <si>
    <t>SG RZUTY PIOTR PIWOWARCZYK</t>
  </si>
  <si>
    <t>STASZÓW 30 05 2023</t>
  </si>
  <si>
    <t>DRUŻYNOWO</t>
  </si>
  <si>
    <t>DRUZYNOWO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</si>
</sst>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 CE"/>
      <family val="0"/>
    </font>
    <font>
      <b/>
      <sz val="13"/>
      <color indexed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sz val="12"/>
      <name val="Arial"/>
      <family val="2"/>
    </font>
    <font>
      <b/>
      <sz val="28"/>
      <color indexed="9"/>
      <name val="Arial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sz val="12"/>
      <color indexed="18"/>
      <name val="Arial CE"/>
      <family val="2"/>
    </font>
    <font>
      <sz val="12"/>
      <color indexed="9"/>
      <name val="Arial CE"/>
      <family val="2"/>
    </font>
    <font>
      <u val="single"/>
      <sz val="8"/>
      <color indexed="12"/>
      <name val="Arial"/>
      <family val="2"/>
    </font>
    <font>
      <sz val="11"/>
      <color indexed="48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 CE"/>
      <family val="0"/>
    </font>
    <font>
      <b/>
      <sz val="12"/>
      <color indexed="9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Czcionka tekstu podstawowego"/>
      <family val="0"/>
    </font>
    <font>
      <u val="single"/>
      <sz val="11"/>
      <color indexed="20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zcionka tekstu podstawowego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zcionka tekstu podstawowego"/>
      <family val="2"/>
    </font>
    <font>
      <b/>
      <sz val="16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Czcionka tekstu podstawowego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57" applyFill="1">
      <alignment/>
      <protection/>
    </xf>
    <xf numFmtId="0" fontId="2" fillId="34" borderId="0" xfId="57" applyFill="1">
      <alignment/>
      <protection/>
    </xf>
    <xf numFmtId="0" fontId="7" fillId="35" borderId="0" xfId="53" applyFont="1" applyFill="1" applyAlignment="1" applyProtection="1">
      <alignment/>
      <protection/>
    </xf>
    <xf numFmtId="4" fontId="10" fillId="36" borderId="10" xfId="57" applyNumberFormat="1" applyFont="1" applyFill="1" applyBorder="1" applyAlignment="1">
      <alignment horizontal="center"/>
      <protection/>
    </xf>
    <xf numFmtId="0" fontId="10" fillId="36" borderId="10" xfId="57" applyNumberFormat="1" applyFont="1" applyFill="1" applyBorder="1" applyAlignment="1">
      <alignment horizontal="center"/>
      <protection/>
    </xf>
    <xf numFmtId="0" fontId="11" fillId="36" borderId="10" xfId="57" applyNumberFormat="1" applyFont="1" applyFill="1" applyBorder="1" applyAlignment="1">
      <alignment horizontal="center"/>
      <protection/>
    </xf>
    <xf numFmtId="4" fontId="11" fillId="36" borderId="10" xfId="57" applyNumberFormat="1" applyFont="1" applyFill="1" applyBorder="1" applyAlignment="1">
      <alignment horizontal="center"/>
      <protection/>
    </xf>
    <xf numFmtId="2" fontId="11" fillId="36" borderId="10" xfId="57" applyNumberFormat="1" applyFont="1" applyFill="1" applyBorder="1" applyAlignment="1">
      <alignment horizontal="center"/>
      <protection/>
    </xf>
    <xf numFmtId="1" fontId="15" fillId="33" borderId="0" xfId="57" applyNumberFormat="1" applyFont="1" applyFill="1" applyAlignment="1">
      <alignment horizontal="center"/>
      <protection/>
    </xf>
    <xf numFmtId="0" fontId="14" fillId="37" borderId="0" xfId="53" applyFont="1" applyFill="1" applyAlignment="1" applyProtection="1">
      <alignment horizontal="center"/>
      <protection/>
    </xf>
    <xf numFmtId="0" fontId="3" fillId="37" borderId="0" xfId="57" applyFont="1" applyFill="1" applyAlignment="1">
      <alignment horizontal="center"/>
      <protection/>
    </xf>
    <xf numFmtId="0" fontId="2" fillId="38" borderId="0" xfId="57" applyFont="1" applyFill="1" applyAlignment="1">
      <alignment horizontal="center"/>
      <protection/>
    </xf>
    <xf numFmtId="0" fontId="8" fillId="38" borderId="0" xfId="57" applyFont="1" applyFill="1" applyAlignment="1">
      <alignment horizontal="center"/>
      <protection/>
    </xf>
    <xf numFmtId="4" fontId="11" fillId="39" borderId="10" xfId="57" applyNumberFormat="1" applyFont="1" applyFill="1" applyBorder="1" applyAlignment="1" applyProtection="1">
      <alignment horizontal="center"/>
      <protection locked="0"/>
    </xf>
    <xf numFmtId="0" fontId="13" fillId="40" borderId="10" xfId="57" applyNumberFormat="1" applyFont="1" applyFill="1" applyBorder="1" applyAlignment="1">
      <alignment horizontal="center"/>
      <protection/>
    </xf>
    <xf numFmtId="0" fontId="11" fillId="39" borderId="10" xfId="57" applyNumberFormat="1" applyFont="1" applyFill="1" applyBorder="1" applyAlignment="1" applyProtection="1">
      <alignment horizontal="center"/>
      <protection locked="0"/>
    </xf>
    <xf numFmtId="2" fontId="11" fillId="39" borderId="10" xfId="57" applyNumberFormat="1" applyFont="1" applyFill="1" applyBorder="1" applyAlignment="1" applyProtection="1">
      <alignment horizontal="center"/>
      <protection locked="0"/>
    </xf>
    <xf numFmtId="0" fontId="12" fillId="41" borderId="10" xfId="57" applyNumberFormat="1" applyFont="1" applyFill="1" applyBorder="1" applyAlignment="1">
      <alignment horizontal="center"/>
      <protection/>
    </xf>
    <xf numFmtId="0" fontId="13" fillId="42" borderId="10" xfId="57" applyNumberFormat="1" applyFont="1" applyFill="1" applyBorder="1" applyAlignment="1">
      <alignment horizontal="center"/>
      <protection/>
    </xf>
    <xf numFmtId="0" fontId="4" fillId="36" borderId="10" xfId="57" applyFont="1" applyFill="1" applyBorder="1" applyAlignment="1">
      <alignment horizontal="left"/>
      <protection/>
    </xf>
    <xf numFmtId="0" fontId="5" fillId="43" borderId="10" xfId="57" applyFont="1" applyFill="1" applyBorder="1" applyAlignment="1">
      <alignment horizontal="left"/>
      <protection/>
    </xf>
    <xf numFmtId="4" fontId="11" fillId="39" borderId="0" xfId="57" applyNumberFormat="1" applyFont="1" applyFill="1" applyBorder="1" applyAlignment="1" applyProtection="1">
      <alignment horizontal="center"/>
      <protection locked="0"/>
    </xf>
    <xf numFmtId="0" fontId="13" fillId="40" borderId="0" xfId="57" applyNumberFormat="1" applyFont="1" applyFill="1" applyBorder="1" applyAlignment="1">
      <alignment horizontal="center"/>
      <protection/>
    </xf>
    <xf numFmtId="0" fontId="11" fillId="39" borderId="0" xfId="57" applyNumberFormat="1" applyFont="1" applyFill="1" applyBorder="1" applyAlignment="1" applyProtection="1">
      <alignment horizontal="center"/>
      <protection locked="0"/>
    </xf>
    <xf numFmtId="2" fontId="11" fillId="39" borderId="0" xfId="57" applyNumberFormat="1" applyFont="1" applyFill="1" applyBorder="1" applyAlignment="1" applyProtection="1">
      <alignment horizontal="center"/>
      <protection locked="0"/>
    </xf>
    <xf numFmtId="0" fontId="12" fillId="41" borderId="0" xfId="57" applyNumberFormat="1" applyFont="1" applyFill="1" applyBorder="1" applyAlignment="1">
      <alignment horizontal="center"/>
      <protection/>
    </xf>
    <xf numFmtId="0" fontId="13" fillId="42" borderId="0" xfId="57" applyNumberFormat="1" applyFont="1" applyFill="1" applyBorder="1" applyAlignment="1">
      <alignment horizontal="center"/>
      <protection/>
    </xf>
    <xf numFmtId="0" fontId="5" fillId="43" borderId="0" xfId="57" applyFont="1" applyFill="1" applyBorder="1" applyAlignment="1">
      <alignment horizontal="left"/>
      <protection/>
    </xf>
    <xf numFmtId="4" fontId="17" fillId="39" borderId="0" xfId="57" applyNumberFormat="1" applyFont="1" applyFill="1" applyBorder="1" applyAlignment="1" applyProtection="1">
      <alignment horizontal="center"/>
      <protection locked="0"/>
    </xf>
    <xf numFmtId="0" fontId="18" fillId="40" borderId="0" xfId="57" applyNumberFormat="1" applyFont="1" applyFill="1" applyBorder="1" applyAlignment="1">
      <alignment horizontal="center"/>
      <protection/>
    </xf>
    <xf numFmtId="0" fontId="64" fillId="0" borderId="11" xfId="0" applyFont="1" applyBorder="1" applyAlignment="1">
      <alignment/>
    </xf>
    <xf numFmtId="0" fontId="0" fillId="0" borderId="11" xfId="0" applyBorder="1" applyAlignment="1">
      <alignment/>
    </xf>
    <xf numFmtId="0" fontId="64" fillId="9" borderId="11" xfId="0" applyFont="1" applyFill="1" applyBorder="1" applyAlignment="1">
      <alignment/>
    </xf>
    <xf numFmtId="4" fontId="17" fillId="44" borderId="11" xfId="57" applyNumberFormat="1" applyFont="1" applyFill="1" applyBorder="1" applyAlignment="1" applyProtection="1">
      <alignment horizontal="center"/>
      <protection locked="0"/>
    </xf>
    <xf numFmtId="0" fontId="19" fillId="9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1" fontId="20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64" fillId="9" borderId="13" xfId="0" applyFont="1" applyFill="1" applyBorder="1" applyAlignment="1">
      <alignment/>
    </xf>
    <xf numFmtId="0" fontId="14" fillId="37" borderId="0" xfId="53" applyFont="1" applyFill="1" applyAlignment="1" applyProtection="1">
      <alignment horizontal="center"/>
      <protection/>
    </xf>
    <xf numFmtId="0" fontId="3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7" fillId="35" borderId="0" xfId="53" applyFont="1" applyFill="1" applyAlignment="1" applyProtection="1">
      <alignment/>
      <protection/>
    </xf>
    <xf numFmtId="0" fontId="4" fillId="36" borderId="10" xfId="0" applyFont="1" applyFill="1" applyBorder="1" applyAlignment="1">
      <alignment horizontal="left"/>
    </xf>
    <xf numFmtId="4" fontId="10" fillId="36" borderId="10" xfId="0" applyNumberFormat="1" applyFont="1" applyFill="1" applyBorder="1" applyAlignment="1">
      <alignment horizontal="center"/>
    </xf>
    <xf numFmtId="0" fontId="11" fillId="36" borderId="10" xfId="0" applyNumberFormat="1" applyFont="1" applyFill="1" applyBorder="1" applyAlignment="1">
      <alignment horizontal="center"/>
    </xf>
    <xf numFmtId="4" fontId="11" fillId="36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0" fontId="10" fillId="36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3" fillId="0" borderId="12" xfId="0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" fillId="33" borderId="0" xfId="57" applyFill="1">
      <alignment/>
      <protection/>
    </xf>
    <xf numFmtId="0" fontId="2" fillId="34" borderId="0" xfId="57" applyFill="1">
      <alignment/>
      <protection/>
    </xf>
    <xf numFmtId="0" fontId="7" fillId="35" borderId="0" xfId="53" applyFont="1" applyFill="1" applyAlignment="1" applyProtection="1">
      <alignment/>
      <protection/>
    </xf>
    <xf numFmtId="1" fontId="22" fillId="33" borderId="0" xfId="57" applyNumberFormat="1" applyFont="1" applyFill="1" applyAlignment="1">
      <alignment horizontal="center"/>
      <protection/>
    </xf>
    <xf numFmtId="1" fontId="24" fillId="0" borderId="12" xfId="57" applyNumberFormat="1" applyFont="1" applyFill="1" applyBorder="1" applyAlignment="1">
      <alignment horizontal="center"/>
      <protection/>
    </xf>
    <xf numFmtId="0" fontId="23" fillId="0" borderId="12" xfId="57" applyFont="1" applyFill="1" applyBorder="1" applyAlignment="1">
      <alignment horizontal="center"/>
      <protection/>
    </xf>
    <xf numFmtId="0" fontId="2" fillId="0" borderId="12" xfId="57" applyFill="1" applyBorder="1" applyAlignment="1">
      <alignment horizontal="center"/>
      <protection/>
    </xf>
    <xf numFmtId="0" fontId="21" fillId="0" borderId="12" xfId="57" applyFont="1" applyFill="1" applyBorder="1" applyAlignment="1">
      <alignment horizontal="center"/>
      <protection/>
    </xf>
    <xf numFmtId="1" fontId="20" fillId="0" borderId="12" xfId="57" applyNumberFormat="1" applyFont="1" applyFill="1" applyBorder="1" applyAlignment="1">
      <alignment horizontal="center"/>
      <protection/>
    </xf>
    <xf numFmtId="0" fontId="8" fillId="0" borderId="12" xfId="57" applyFont="1" applyFill="1" applyBorder="1" applyAlignment="1">
      <alignment horizontal="left"/>
      <protection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9" fillId="38" borderId="0" xfId="57" applyFont="1" applyFill="1" applyAlignment="1">
      <alignment horizontal="center" wrapText="1"/>
      <protection/>
    </xf>
    <xf numFmtId="0" fontId="2" fillId="38" borderId="0" xfId="57" applyFill="1" applyAlignment="1">
      <alignment horizontal="center"/>
      <protection/>
    </xf>
    <xf numFmtId="0" fontId="9" fillId="38" borderId="0" xfId="0" applyFont="1" applyFill="1" applyAlignment="1">
      <alignment horizontal="center" wrapText="1"/>
    </xf>
    <xf numFmtId="0" fontId="0" fillId="38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\Downloads\czwrbj_dz_2019-progra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oły"/>
      <sheetName val="wyniki"/>
      <sheetName val="60m"/>
      <sheetName val="PPAL"/>
      <sheetName val="Wzwyż"/>
      <sheetName val="W dal"/>
      <sheetName val="600m"/>
      <sheetName val="4boj"/>
      <sheetName val="I DZIEN"/>
      <sheetName val="II DZIEN"/>
      <sheetName val="wydruk"/>
      <sheetName val="nazwy_wojewodztw"/>
      <sheetName val="woj_ranking"/>
      <sheetName val="kolejka"/>
      <sheetName val="SINGLE"/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72"/>
  <sheetViews>
    <sheetView tabSelected="1" zoomScalePageLayoutView="0" workbookViewId="0" topLeftCell="A255">
      <selection activeCell="B262" sqref="B262"/>
    </sheetView>
  </sheetViews>
  <sheetFormatPr defaultColWidth="8.796875" defaultRowHeight="14.25"/>
  <cols>
    <col min="1" max="1" width="16.5" style="0" customWidth="1"/>
    <col min="2" max="2" width="26.19921875" style="0" customWidth="1"/>
    <col min="3" max="3" width="11.59765625" style="0" customWidth="1"/>
    <col min="5" max="5" width="23.09765625" style="0" customWidth="1"/>
    <col min="6" max="6" width="9.8984375" style="0" customWidth="1"/>
  </cols>
  <sheetData>
    <row r="3" spans="1:3" ht="20.25">
      <c r="A3" s="42" t="s">
        <v>189</v>
      </c>
      <c r="B3" s="73"/>
      <c r="C3" s="42"/>
    </row>
    <row r="4" ht="20.25">
      <c r="B4" s="71" t="s">
        <v>184</v>
      </c>
    </row>
    <row r="5" ht="20.25">
      <c r="B5" s="71" t="s">
        <v>185</v>
      </c>
    </row>
    <row r="6" ht="20.25">
      <c r="B6" s="71" t="s">
        <v>186</v>
      </c>
    </row>
    <row r="7" ht="20.25">
      <c r="B7" s="71" t="s">
        <v>187</v>
      </c>
    </row>
    <row r="8" ht="20.25">
      <c r="B8" s="72" t="s">
        <v>188</v>
      </c>
    </row>
    <row r="9" ht="20.25">
      <c r="B9" s="72" t="s">
        <v>193</v>
      </c>
    </row>
    <row r="10" spans="1:2" ht="15">
      <c r="A10" s="42" t="s">
        <v>190</v>
      </c>
      <c r="B10" s="42"/>
    </row>
    <row r="11" spans="1:2" ht="15">
      <c r="A11" s="42" t="s">
        <v>191</v>
      </c>
      <c r="B11" s="42"/>
    </row>
    <row r="12" spans="1:2" ht="15">
      <c r="A12" s="42" t="s">
        <v>192</v>
      </c>
      <c r="B12" s="42"/>
    </row>
    <row r="13" spans="1:14" ht="14.25">
      <c r="A13" s="74" t="s">
        <v>0</v>
      </c>
      <c r="B13" s="75"/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>
        <v>0</v>
      </c>
      <c r="M13" s="10">
        <v>0</v>
      </c>
      <c r="N13" s="10">
        <v>0</v>
      </c>
    </row>
    <row r="14" spans="1:14" ht="14.25">
      <c r="A14" s="75"/>
      <c r="B14" s="75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14.25">
      <c r="A15" s="75"/>
      <c r="B15" s="75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ht="14.25">
      <c r="A16" s="75"/>
      <c r="B16" s="75"/>
      <c r="C16" s="10">
        <v>0</v>
      </c>
      <c r="D16" s="10">
        <v>0</v>
      </c>
      <c r="E16" s="10">
        <v>0</v>
      </c>
      <c r="F16" s="10">
        <v>0</v>
      </c>
      <c r="G16" s="11"/>
      <c r="H16" s="10"/>
      <c r="I16" s="11"/>
      <c r="J16" s="10"/>
      <c r="K16" s="11"/>
      <c r="L16" s="10"/>
      <c r="M16" s="11"/>
      <c r="N16" s="11"/>
    </row>
    <row r="17" spans="1:14" ht="14.25">
      <c r="A17" s="75"/>
      <c r="B17" s="7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 thickBot="1">
      <c r="A18" s="75"/>
      <c r="B18" s="75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2"/>
      <c r="N18" s="12"/>
    </row>
    <row r="19" spans="1:14" ht="16.5" thickBot="1" thickTop="1">
      <c r="A19" s="3" t="s">
        <v>1</v>
      </c>
      <c r="B19" s="20" t="s">
        <v>10</v>
      </c>
      <c r="C19" s="4" t="s">
        <v>11</v>
      </c>
      <c r="D19" s="6" t="s">
        <v>12</v>
      </c>
      <c r="E19" s="7" t="s">
        <v>13</v>
      </c>
      <c r="F19" s="6" t="s">
        <v>12</v>
      </c>
      <c r="G19" s="6" t="s">
        <v>14</v>
      </c>
      <c r="H19" s="6" t="s">
        <v>12</v>
      </c>
      <c r="I19" s="6" t="s">
        <v>15</v>
      </c>
      <c r="J19" s="6" t="s">
        <v>12</v>
      </c>
      <c r="K19" s="8" t="s">
        <v>16</v>
      </c>
      <c r="L19" s="6" t="s">
        <v>12</v>
      </c>
      <c r="M19" s="5" t="s">
        <v>17</v>
      </c>
      <c r="N19" s="5" t="s">
        <v>18</v>
      </c>
    </row>
    <row r="20" spans="1:14" ht="18" thickBot="1" thickTop="1">
      <c r="A20" s="1"/>
      <c r="B20" s="21" t="s">
        <v>19</v>
      </c>
      <c r="C20" s="14">
        <v>8.47</v>
      </c>
      <c r="D20" s="15">
        <v>72</v>
      </c>
      <c r="E20" s="14">
        <v>46</v>
      </c>
      <c r="F20" s="15">
        <v>57</v>
      </c>
      <c r="G20" s="16"/>
      <c r="H20" s="15">
        <v>0</v>
      </c>
      <c r="I20" s="16">
        <v>465</v>
      </c>
      <c r="J20" s="15">
        <v>62</v>
      </c>
      <c r="K20" s="17">
        <v>336.84</v>
      </c>
      <c r="L20" s="15">
        <v>47</v>
      </c>
      <c r="M20" s="18">
        <v>191</v>
      </c>
      <c r="N20" s="19">
        <v>238</v>
      </c>
    </row>
    <row r="21" spans="1:14" ht="18" thickBot="1" thickTop="1">
      <c r="A21" s="9"/>
      <c r="B21" s="21" t="s">
        <v>20</v>
      </c>
      <c r="C21" s="14">
        <v>8.9</v>
      </c>
      <c r="D21" s="15">
        <v>58</v>
      </c>
      <c r="E21" s="14">
        <v>35.5</v>
      </c>
      <c r="F21" s="15">
        <v>36</v>
      </c>
      <c r="G21" s="16"/>
      <c r="H21" s="15">
        <v>0</v>
      </c>
      <c r="I21" s="16">
        <v>461</v>
      </c>
      <c r="J21" s="15">
        <v>61</v>
      </c>
      <c r="K21" s="17">
        <v>337.3</v>
      </c>
      <c r="L21" s="15">
        <v>47</v>
      </c>
      <c r="M21" s="18">
        <v>155</v>
      </c>
      <c r="N21" s="19">
        <v>202</v>
      </c>
    </row>
    <row r="22" spans="1:14" ht="18" thickBot="1" thickTop="1">
      <c r="A22" s="9" t="s">
        <v>68</v>
      </c>
      <c r="B22" s="21" t="s">
        <v>21</v>
      </c>
      <c r="C22" s="14">
        <v>9.62</v>
      </c>
      <c r="D22" s="15">
        <v>36</v>
      </c>
      <c r="E22" s="14">
        <v>33</v>
      </c>
      <c r="F22" s="15">
        <v>31</v>
      </c>
      <c r="G22" s="16"/>
      <c r="H22" s="15">
        <v>0</v>
      </c>
      <c r="I22" s="16">
        <v>410</v>
      </c>
      <c r="J22" s="15">
        <v>44</v>
      </c>
      <c r="K22" s="17">
        <v>343.59</v>
      </c>
      <c r="L22" s="15">
        <v>40</v>
      </c>
      <c r="M22" s="18">
        <v>111</v>
      </c>
      <c r="N22" s="19">
        <v>151</v>
      </c>
    </row>
    <row r="23" spans="1:14" ht="18" thickBot="1" thickTop="1">
      <c r="A23" s="1"/>
      <c r="B23" s="21" t="s">
        <v>22</v>
      </c>
      <c r="C23" s="14">
        <v>9.11</v>
      </c>
      <c r="D23" s="15">
        <v>51</v>
      </c>
      <c r="E23" s="14">
        <v>25</v>
      </c>
      <c r="F23" s="15">
        <v>15</v>
      </c>
      <c r="G23" s="16"/>
      <c r="H23" s="15">
        <v>0</v>
      </c>
      <c r="I23" s="16">
        <v>417</v>
      </c>
      <c r="J23" s="15">
        <v>46</v>
      </c>
      <c r="K23" s="17">
        <v>333.73</v>
      </c>
      <c r="L23" s="15">
        <v>50</v>
      </c>
      <c r="M23" s="18">
        <v>112</v>
      </c>
      <c r="N23" s="19">
        <v>162</v>
      </c>
    </row>
    <row r="24" spans="1:14" ht="18" thickBot="1" thickTop="1">
      <c r="A24" s="1"/>
      <c r="B24" s="21" t="s">
        <v>23</v>
      </c>
      <c r="C24" s="14">
        <v>9.43</v>
      </c>
      <c r="D24" s="15">
        <v>41</v>
      </c>
      <c r="E24" s="14">
        <v>38</v>
      </c>
      <c r="F24" s="15">
        <v>41</v>
      </c>
      <c r="G24" s="16"/>
      <c r="H24" s="15">
        <v>0</v>
      </c>
      <c r="I24" s="16">
        <v>386</v>
      </c>
      <c r="J24" s="15">
        <v>36</v>
      </c>
      <c r="K24" s="17">
        <v>408.67</v>
      </c>
      <c r="L24" s="15">
        <v>18</v>
      </c>
      <c r="M24" s="18">
        <v>118</v>
      </c>
      <c r="N24" s="19">
        <v>136</v>
      </c>
    </row>
    <row r="25" spans="1:14" ht="18" thickBot="1" thickTop="1">
      <c r="A25" s="1"/>
      <c r="B25" s="21" t="s">
        <v>24</v>
      </c>
      <c r="C25" s="14">
        <v>9.79</v>
      </c>
      <c r="D25" s="15">
        <v>32</v>
      </c>
      <c r="E25" s="14">
        <v>27.5</v>
      </c>
      <c r="F25" s="15">
        <v>20</v>
      </c>
      <c r="G25" s="16"/>
      <c r="H25" s="15">
        <v>0</v>
      </c>
      <c r="I25" s="16">
        <v>398</v>
      </c>
      <c r="J25" s="15">
        <v>40</v>
      </c>
      <c r="K25" s="17">
        <v>353.4</v>
      </c>
      <c r="L25" s="15">
        <v>31</v>
      </c>
      <c r="M25" s="18">
        <v>92</v>
      </c>
      <c r="N25" s="19">
        <v>123</v>
      </c>
    </row>
    <row r="26" spans="1:14" ht="16.5" thickBot="1" thickTop="1">
      <c r="A26" s="3" t="s">
        <v>2</v>
      </c>
      <c r="B26" s="20" t="s">
        <v>10</v>
      </c>
      <c r="C26" s="4" t="s">
        <v>11</v>
      </c>
      <c r="D26" s="6" t="s">
        <v>12</v>
      </c>
      <c r="E26" s="7" t="s">
        <v>13</v>
      </c>
      <c r="F26" s="6" t="s">
        <v>12</v>
      </c>
      <c r="G26" s="6" t="s">
        <v>14</v>
      </c>
      <c r="H26" s="6" t="s">
        <v>12</v>
      </c>
      <c r="I26" s="6" t="s">
        <v>15</v>
      </c>
      <c r="J26" s="6" t="s">
        <v>12</v>
      </c>
      <c r="K26" s="8" t="s">
        <v>16</v>
      </c>
      <c r="L26" s="6" t="s">
        <v>12</v>
      </c>
      <c r="M26" s="5" t="s">
        <v>17</v>
      </c>
      <c r="N26" s="5" t="s">
        <v>18</v>
      </c>
    </row>
    <row r="27" spans="1:14" ht="18" thickBot="1" thickTop="1">
      <c r="A27" s="2"/>
      <c r="B27" s="21" t="s">
        <v>25</v>
      </c>
      <c r="C27" s="14">
        <v>8.58</v>
      </c>
      <c r="D27" s="15">
        <v>68</v>
      </c>
      <c r="E27" s="14">
        <v>36.5</v>
      </c>
      <c r="F27" s="15">
        <v>38</v>
      </c>
      <c r="G27" s="16"/>
      <c r="H27" s="15">
        <v>0</v>
      </c>
      <c r="I27" s="16">
        <v>420</v>
      </c>
      <c r="J27" s="15">
        <v>47</v>
      </c>
      <c r="K27" s="17">
        <v>341.44</v>
      </c>
      <c r="L27" s="15">
        <v>42</v>
      </c>
      <c r="M27" s="18">
        <v>153</v>
      </c>
      <c r="N27" s="19">
        <v>195</v>
      </c>
    </row>
    <row r="28" spans="1:14" ht="18" thickBot="1" thickTop="1">
      <c r="A28" s="9"/>
      <c r="B28" s="21" t="s">
        <v>26</v>
      </c>
      <c r="C28" s="14">
        <v>9.37</v>
      </c>
      <c r="D28" s="15">
        <v>42</v>
      </c>
      <c r="E28" s="14">
        <v>27.5</v>
      </c>
      <c r="F28" s="15">
        <v>20</v>
      </c>
      <c r="G28" s="16"/>
      <c r="H28" s="15">
        <v>0</v>
      </c>
      <c r="I28" s="16">
        <v>407</v>
      </c>
      <c r="J28" s="15">
        <v>43</v>
      </c>
      <c r="K28" s="17">
        <v>430.82</v>
      </c>
      <c r="L28" s="15">
        <v>5</v>
      </c>
      <c r="M28" s="18">
        <v>105</v>
      </c>
      <c r="N28" s="19">
        <v>110</v>
      </c>
    </row>
    <row r="29" spans="1:14" ht="18" thickBot="1" thickTop="1">
      <c r="A29" s="9" t="s">
        <v>67</v>
      </c>
      <c r="B29" s="21" t="s">
        <v>27</v>
      </c>
      <c r="C29" s="14">
        <v>9.27</v>
      </c>
      <c r="D29" s="15">
        <v>45</v>
      </c>
      <c r="E29" s="14">
        <v>33</v>
      </c>
      <c r="F29" s="15">
        <v>31</v>
      </c>
      <c r="G29" s="16"/>
      <c r="H29" s="15">
        <v>0</v>
      </c>
      <c r="I29" s="16">
        <v>415</v>
      </c>
      <c r="J29" s="15">
        <v>46</v>
      </c>
      <c r="K29" s="17">
        <v>351.86</v>
      </c>
      <c r="L29" s="15">
        <v>32</v>
      </c>
      <c r="M29" s="18">
        <v>122</v>
      </c>
      <c r="N29" s="19">
        <v>154</v>
      </c>
    </row>
    <row r="30" spans="1:14" ht="18" thickBot="1" thickTop="1">
      <c r="A30" s="2"/>
      <c r="B30" s="21" t="s">
        <v>28</v>
      </c>
      <c r="C30" s="14">
        <v>8.96</v>
      </c>
      <c r="D30" s="15">
        <v>56</v>
      </c>
      <c r="E30" s="14">
        <v>39</v>
      </c>
      <c r="F30" s="15">
        <v>43</v>
      </c>
      <c r="G30" s="16"/>
      <c r="H30" s="15">
        <v>0</v>
      </c>
      <c r="I30" s="16">
        <v>414</v>
      </c>
      <c r="J30" s="15">
        <v>45</v>
      </c>
      <c r="K30" s="17">
        <v>348.02</v>
      </c>
      <c r="L30" s="15">
        <v>36</v>
      </c>
      <c r="M30" s="18">
        <v>144</v>
      </c>
      <c r="N30" s="19">
        <v>180</v>
      </c>
    </row>
    <row r="31" spans="1:14" ht="18" thickBot="1" thickTop="1">
      <c r="A31" s="2"/>
      <c r="B31" s="21" t="s">
        <v>29</v>
      </c>
      <c r="C31" s="14">
        <v>8.84</v>
      </c>
      <c r="D31" s="15">
        <v>60</v>
      </c>
      <c r="E31" s="14">
        <v>45</v>
      </c>
      <c r="F31" s="15">
        <v>55</v>
      </c>
      <c r="G31" s="16"/>
      <c r="H31" s="15">
        <v>0</v>
      </c>
      <c r="I31" s="16">
        <v>438</v>
      </c>
      <c r="J31" s="15">
        <v>53</v>
      </c>
      <c r="K31" s="17">
        <v>345.69</v>
      </c>
      <c r="L31" s="15">
        <v>38</v>
      </c>
      <c r="M31" s="18">
        <v>168</v>
      </c>
      <c r="N31" s="19">
        <v>206</v>
      </c>
    </row>
    <row r="32" spans="1:14" ht="18" thickBot="1" thickTop="1">
      <c r="A32" s="2"/>
      <c r="B32" s="21">
        <v>0</v>
      </c>
      <c r="C32" s="14"/>
      <c r="D32" s="15">
        <v>0</v>
      </c>
      <c r="E32" s="14"/>
      <c r="F32" s="15">
        <v>0</v>
      </c>
      <c r="G32" s="16"/>
      <c r="H32" s="15">
        <v>0</v>
      </c>
      <c r="I32" s="16"/>
      <c r="J32" s="15">
        <v>0</v>
      </c>
      <c r="K32" s="17"/>
      <c r="L32" s="15">
        <v>0</v>
      </c>
      <c r="M32" s="18">
        <v>0</v>
      </c>
      <c r="N32" s="19">
        <v>0</v>
      </c>
    </row>
    <row r="33" spans="1:14" ht="16.5" thickBot="1" thickTop="1">
      <c r="A33" s="3" t="s">
        <v>3</v>
      </c>
      <c r="B33" s="20" t="s">
        <v>10</v>
      </c>
      <c r="C33" s="4" t="s">
        <v>11</v>
      </c>
      <c r="D33" s="6" t="s">
        <v>12</v>
      </c>
      <c r="E33" s="7" t="s">
        <v>13</v>
      </c>
      <c r="F33" s="6" t="s">
        <v>12</v>
      </c>
      <c r="G33" s="6" t="s">
        <v>14</v>
      </c>
      <c r="H33" s="6" t="s">
        <v>12</v>
      </c>
      <c r="I33" s="6" t="s">
        <v>15</v>
      </c>
      <c r="J33" s="6" t="s">
        <v>12</v>
      </c>
      <c r="K33" s="8" t="s">
        <v>16</v>
      </c>
      <c r="L33" s="6" t="s">
        <v>12</v>
      </c>
      <c r="M33" s="5" t="s">
        <v>17</v>
      </c>
      <c r="N33" s="5" t="s">
        <v>18</v>
      </c>
    </row>
    <row r="34" spans="1:14" ht="18" thickBot="1" thickTop="1">
      <c r="A34" s="1"/>
      <c r="B34" s="21" t="s">
        <v>30</v>
      </c>
      <c r="C34" s="14">
        <v>8.44</v>
      </c>
      <c r="D34" s="15">
        <v>74</v>
      </c>
      <c r="E34" s="14">
        <v>35</v>
      </c>
      <c r="F34" s="15">
        <v>35</v>
      </c>
      <c r="G34" s="16"/>
      <c r="H34" s="15">
        <v>0</v>
      </c>
      <c r="I34" s="16">
        <v>385</v>
      </c>
      <c r="J34" s="15">
        <v>36</v>
      </c>
      <c r="K34" s="17">
        <v>349.5</v>
      </c>
      <c r="L34" s="15">
        <v>34</v>
      </c>
      <c r="M34" s="18">
        <v>145</v>
      </c>
      <c r="N34" s="19">
        <v>179</v>
      </c>
    </row>
    <row r="35" spans="1:14" ht="18" thickBot="1" thickTop="1">
      <c r="A35" s="9"/>
      <c r="B35" s="21" t="s">
        <v>31</v>
      </c>
      <c r="C35" s="14">
        <v>9.52</v>
      </c>
      <c r="D35" s="15">
        <v>38</v>
      </c>
      <c r="E35" s="14">
        <v>33.5</v>
      </c>
      <c r="F35" s="15">
        <v>32</v>
      </c>
      <c r="G35" s="16"/>
      <c r="H35" s="15">
        <v>0</v>
      </c>
      <c r="I35" s="16">
        <v>363</v>
      </c>
      <c r="J35" s="15">
        <v>26</v>
      </c>
      <c r="K35" s="17">
        <v>352.72</v>
      </c>
      <c r="L35" s="15">
        <v>32</v>
      </c>
      <c r="M35" s="18">
        <v>96</v>
      </c>
      <c r="N35" s="19">
        <v>128</v>
      </c>
    </row>
    <row r="36" spans="1:14" ht="18" thickBot="1" thickTop="1">
      <c r="A36" s="9" t="s">
        <v>66</v>
      </c>
      <c r="B36" s="21" t="s">
        <v>32</v>
      </c>
      <c r="C36" s="14">
        <v>8.73</v>
      </c>
      <c r="D36" s="15">
        <v>63</v>
      </c>
      <c r="E36" s="14">
        <v>39</v>
      </c>
      <c r="F36" s="15">
        <v>43</v>
      </c>
      <c r="G36" s="16"/>
      <c r="H36" s="15">
        <v>0</v>
      </c>
      <c r="I36" s="16">
        <v>394</v>
      </c>
      <c r="J36" s="15">
        <v>39</v>
      </c>
      <c r="K36" s="17">
        <v>340.21</v>
      </c>
      <c r="L36" s="15">
        <v>44</v>
      </c>
      <c r="M36" s="18">
        <v>145</v>
      </c>
      <c r="N36" s="19">
        <v>189</v>
      </c>
    </row>
    <row r="37" spans="1:14" ht="18" thickBot="1" thickTop="1">
      <c r="A37" s="1"/>
      <c r="B37" s="21" t="s">
        <v>33</v>
      </c>
      <c r="C37" s="14">
        <v>9.6</v>
      </c>
      <c r="D37" s="15">
        <v>36</v>
      </c>
      <c r="E37" s="14">
        <v>31.5</v>
      </c>
      <c r="F37" s="15">
        <v>28</v>
      </c>
      <c r="G37" s="16"/>
      <c r="H37" s="15">
        <v>0</v>
      </c>
      <c r="I37" s="16">
        <v>362</v>
      </c>
      <c r="J37" s="15">
        <v>26</v>
      </c>
      <c r="K37" s="17">
        <v>354.28</v>
      </c>
      <c r="L37" s="15">
        <v>30</v>
      </c>
      <c r="M37" s="18">
        <v>90</v>
      </c>
      <c r="N37" s="19">
        <v>120</v>
      </c>
    </row>
    <row r="38" spans="1:14" ht="18" thickBot="1" thickTop="1">
      <c r="A38" s="1"/>
      <c r="B38" s="21" t="s">
        <v>34</v>
      </c>
      <c r="C38" s="14">
        <v>8.9</v>
      </c>
      <c r="D38" s="15">
        <v>58</v>
      </c>
      <c r="E38" s="14">
        <v>27.5</v>
      </c>
      <c r="F38" s="15">
        <v>20</v>
      </c>
      <c r="G38" s="16"/>
      <c r="H38" s="15">
        <v>0</v>
      </c>
      <c r="I38" s="16">
        <v>352</v>
      </c>
      <c r="J38" s="15">
        <v>22</v>
      </c>
      <c r="K38" s="17">
        <v>402.83</v>
      </c>
      <c r="L38" s="15">
        <v>23</v>
      </c>
      <c r="M38" s="18">
        <v>100</v>
      </c>
      <c r="N38" s="19">
        <v>123</v>
      </c>
    </row>
    <row r="39" spans="1:14" ht="18" thickBot="1" thickTop="1">
      <c r="A39" s="1"/>
      <c r="B39" s="21">
        <v>0</v>
      </c>
      <c r="C39" s="14"/>
      <c r="D39" s="15">
        <v>0</v>
      </c>
      <c r="E39" s="14"/>
      <c r="F39" s="15">
        <v>0</v>
      </c>
      <c r="G39" s="16"/>
      <c r="H39" s="15">
        <v>0</v>
      </c>
      <c r="I39" s="16"/>
      <c r="J39" s="15">
        <v>0</v>
      </c>
      <c r="K39" s="17"/>
      <c r="L39" s="15">
        <v>0</v>
      </c>
      <c r="M39" s="18">
        <v>0</v>
      </c>
      <c r="N39" s="19">
        <v>0</v>
      </c>
    </row>
    <row r="40" spans="1:14" ht="16.5" thickBot="1" thickTop="1">
      <c r="A40" s="3" t="s">
        <v>4</v>
      </c>
      <c r="B40" s="20" t="s">
        <v>10</v>
      </c>
      <c r="C40" s="4" t="s">
        <v>11</v>
      </c>
      <c r="D40" s="6" t="s">
        <v>12</v>
      </c>
      <c r="E40" s="7" t="s">
        <v>13</v>
      </c>
      <c r="F40" s="6" t="s">
        <v>12</v>
      </c>
      <c r="G40" s="6" t="s">
        <v>14</v>
      </c>
      <c r="H40" s="6" t="s">
        <v>12</v>
      </c>
      <c r="I40" s="6" t="s">
        <v>15</v>
      </c>
      <c r="J40" s="6" t="s">
        <v>12</v>
      </c>
      <c r="K40" s="8" t="s">
        <v>16</v>
      </c>
      <c r="L40" s="6" t="s">
        <v>12</v>
      </c>
      <c r="M40" s="5" t="s">
        <v>17</v>
      </c>
      <c r="N40" s="5" t="s">
        <v>18</v>
      </c>
    </row>
    <row r="41" spans="1:14" ht="18" thickBot="1" thickTop="1">
      <c r="A41" s="2"/>
      <c r="B41" s="21" t="s">
        <v>35</v>
      </c>
      <c r="C41" s="14">
        <v>7.96</v>
      </c>
      <c r="D41" s="15">
        <v>93</v>
      </c>
      <c r="E41" s="14">
        <v>34</v>
      </c>
      <c r="F41" s="15">
        <v>33</v>
      </c>
      <c r="G41" s="16"/>
      <c r="H41" s="15">
        <v>0</v>
      </c>
      <c r="I41" s="16">
        <v>463</v>
      </c>
      <c r="J41" s="15">
        <v>62</v>
      </c>
      <c r="K41" s="17">
        <v>330.49</v>
      </c>
      <c r="L41" s="15">
        <v>54</v>
      </c>
      <c r="M41" s="18">
        <v>188</v>
      </c>
      <c r="N41" s="19">
        <v>242</v>
      </c>
    </row>
    <row r="42" spans="1:14" ht="18" thickBot="1" thickTop="1">
      <c r="A42" s="9"/>
      <c r="B42" s="21" t="s">
        <v>36</v>
      </c>
      <c r="C42" s="14">
        <v>8.87</v>
      </c>
      <c r="D42" s="15">
        <v>59</v>
      </c>
      <c r="E42" s="14">
        <v>41</v>
      </c>
      <c r="F42" s="15">
        <v>47</v>
      </c>
      <c r="G42" s="16"/>
      <c r="H42" s="15">
        <v>0</v>
      </c>
      <c r="I42" s="16">
        <v>430</v>
      </c>
      <c r="J42" s="15">
        <v>51</v>
      </c>
      <c r="K42" s="17">
        <v>343.93</v>
      </c>
      <c r="L42" s="15">
        <v>40</v>
      </c>
      <c r="M42" s="18">
        <v>157</v>
      </c>
      <c r="N42" s="19">
        <v>197</v>
      </c>
    </row>
    <row r="43" spans="1:14" ht="18" thickBot="1" thickTop="1">
      <c r="A43" s="9" t="s">
        <v>65</v>
      </c>
      <c r="B43" s="21" t="s">
        <v>37</v>
      </c>
      <c r="C43" s="14">
        <v>8.8</v>
      </c>
      <c r="D43" s="15">
        <v>61</v>
      </c>
      <c r="E43" s="14">
        <v>36.5</v>
      </c>
      <c r="F43" s="15">
        <v>38</v>
      </c>
      <c r="G43" s="16"/>
      <c r="H43" s="15">
        <v>0</v>
      </c>
      <c r="I43" s="16">
        <v>414</v>
      </c>
      <c r="J43" s="15">
        <v>45</v>
      </c>
      <c r="K43" s="17">
        <v>348.6</v>
      </c>
      <c r="L43" s="15">
        <v>35</v>
      </c>
      <c r="M43" s="18">
        <v>144</v>
      </c>
      <c r="N43" s="19">
        <v>179</v>
      </c>
    </row>
    <row r="44" spans="1:14" ht="18" thickBot="1" thickTop="1">
      <c r="A44" s="2"/>
      <c r="B44" s="21" t="s">
        <v>38</v>
      </c>
      <c r="C44" s="14">
        <v>9.35</v>
      </c>
      <c r="D44" s="15">
        <v>43</v>
      </c>
      <c r="E44" s="14">
        <v>33</v>
      </c>
      <c r="F44" s="15">
        <v>31</v>
      </c>
      <c r="G44" s="16"/>
      <c r="H44" s="15">
        <v>0</v>
      </c>
      <c r="I44" s="16">
        <v>419</v>
      </c>
      <c r="J44" s="15">
        <v>47</v>
      </c>
      <c r="K44" s="17">
        <v>350.76</v>
      </c>
      <c r="L44" s="15">
        <v>33</v>
      </c>
      <c r="M44" s="18">
        <v>121</v>
      </c>
      <c r="N44" s="19">
        <v>154</v>
      </c>
    </row>
    <row r="45" spans="1:14" ht="18" thickBot="1" thickTop="1">
      <c r="A45" s="2"/>
      <c r="B45" s="21" t="s">
        <v>39</v>
      </c>
      <c r="C45" s="14">
        <v>9.43</v>
      </c>
      <c r="D45" s="15">
        <v>41</v>
      </c>
      <c r="E45" s="14">
        <v>36.5</v>
      </c>
      <c r="F45" s="15">
        <v>38</v>
      </c>
      <c r="G45" s="16"/>
      <c r="H45" s="15">
        <v>0</v>
      </c>
      <c r="I45" s="16">
        <v>367</v>
      </c>
      <c r="J45" s="15">
        <v>28</v>
      </c>
      <c r="K45" s="17">
        <v>341.89</v>
      </c>
      <c r="L45" s="15">
        <v>42</v>
      </c>
      <c r="M45" s="18">
        <v>107</v>
      </c>
      <c r="N45" s="19">
        <v>149</v>
      </c>
    </row>
    <row r="46" spans="1:14" ht="18" thickBot="1" thickTop="1">
      <c r="A46" s="2"/>
      <c r="B46" s="21" t="s">
        <v>40</v>
      </c>
      <c r="C46" s="14">
        <v>9.85</v>
      </c>
      <c r="D46" s="15">
        <v>31</v>
      </c>
      <c r="E46" s="14">
        <v>30</v>
      </c>
      <c r="F46" s="15">
        <v>25</v>
      </c>
      <c r="G46" s="16"/>
      <c r="H46" s="15">
        <v>0</v>
      </c>
      <c r="I46" s="16">
        <v>362</v>
      </c>
      <c r="J46" s="15">
        <v>26</v>
      </c>
      <c r="K46" s="17">
        <v>336.9</v>
      </c>
      <c r="L46" s="15">
        <v>47</v>
      </c>
      <c r="M46" s="18">
        <v>82</v>
      </c>
      <c r="N46" s="19">
        <v>129</v>
      </c>
    </row>
    <row r="47" spans="1:14" ht="16.5" thickBot="1" thickTop="1">
      <c r="A47" s="3" t="s">
        <v>5</v>
      </c>
      <c r="B47" s="20" t="s">
        <v>10</v>
      </c>
      <c r="C47" s="4" t="s">
        <v>11</v>
      </c>
      <c r="D47" s="6" t="s">
        <v>12</v>
      </c>
      <c r="E47" s="7" t="s">
        <v>13</v>
      </c>
      <c r="F47" s="6" t="s">
        <v>12</v>
      </c>
      <c r="G47" s="6" t="s">
        <v>14</v>
      </c>
      <c r="H47" s="6" t="s">
        <v>12</v>
      </c>
      <c r="I47" s="6" t="s">
        <v>15</v>
      </c>
      <c r="J47" s="6" t="s">
        <v>12</v>
      </c>
      <c r="K47" s="8" t="s">
        <v>16</v>
      </c>
      <c r="L47" s="6" t="s">
        <v>12</v>
      </c>
      <c r="M47" s="5" t="s">
        <v>17</v>
      </c>
      <c r="N47" s="5" t="s">
        <v>18</v>
      </c>
    </row>
    <row r="48" spans="1:14" ht="18" thickBot="1" thickTop="1">
      <c r="A48" s="1"/>
      <c r="B48" s="21" t="s">
        <v>41</v>
      </c>
      <c r="C48" s="14">
        <v>9.21</v>
      </c>
      <c r="D48" s="15">
        <v>47</v>
      </c>
      <c r="E48" s="14">
        <v>35.5</v>
      </c>
      <c r="F48" s="15">
        <v>36</v>
      </c>
      <c r="G48" s="16"/>
      <c r="H48" s="15">
        <v>0</v>
      </c>
      <c r="I48" s="16">
        <v>419</v>
      </c>
      <c r="J48" s="15">
        <v>47</v>
      </c>
      <c r="K48" s="17">
        <v>331.11</v>
      </c>
      <c r="L48" s="15">
        <v>53</v>
      </c>
      <c r="M48" s="18">
        <v>130</v>
      </c>
      <c r="N48" s="19">
        <v>183</v>
      </c>
    </row>
    <row r="49" spans="1:14" ht="18" thickBot="1" thickTop="1">
      <c r="A49" s="9"/>
      <c r="B49" s="21" t="s">
        <v>42</v>
      </c>
      <c r="C49" s="14">
        <v>8.6</v>
      </c>
      <c r="D49" s="15">
        <v>68</v>
      </c>
      <c r="E49" s="14">
        <v>33.5</v>
      </c>
      <c r="F49" s="15">
        <v>32</v>
      </c>
      <c r="G49" s="16"/>
      <c r="H49" s="15">
        <v>0</v>
      </c>
      <c r="I49" s="16">
        <v>460</v>
      </c>
      <c r="J49" s="15">
        <v>61</v>
      </c>
      <c r="K49" s="17">
        <v>335.94</v>
      </c>
      <c r="L49" s="15">
        <v>48</v>
      </c>
      <c r="M49" s="18">
        <v>161</v>
      </c>
      <c r="N49" s="19">
        <v>209</v>
      </c>
    </row>
    <row r="50" spans="1:14" ht="18" thickBot="1" thickTop="1">
      <c r="A50" s="9" t="s">
        <v>64</v>
      </c>
      <c r="B50" s="21" t="s">
        <v>43</v>
      </c>
      <c r="C50" s="14">
        <v>8.55</v>
      </c>
      <c r="D50" s="15">
        <v>69</v>
      </c>
      <c r="E50" s="14">
        <v>33</v>
      </c>
      <c r="F50" s="15">
        <v>31</v>
      </c>
      <c r="G50" s="16"/>
      <c r="H50" s="15">
        <v>0</v>
      </c>
      <c r="I50" s="16">
        <v>403</v>
      </c>
      <c r="J50" s="15">
        <v>42</v>
      </c>
      <c r="K50" s="17">
        <v>335.34</v>
      </c>
      <c r="L50" s="15">
        <v>49</v>
      </c>
      <c r="M50" s="18">
        <v>142</v>
      </c>
      <c r="N50" s="19">
        <v>191</v>
      </c>
    </row>
    <row r="51" spans="1:14" ht="18" thickBot="1" thickTop="1">
      <c r="A51" s="1"/>
      <c r="B51" s="21" t="s">
        <v>44</v>
      </c>
      <c r="C51" s="14">
        <v>8.93</v>
      </c>
      <c r="D51" s="15">
        <v>57</v>
      </c>
      <c r="E51" s="14">
        <v>33</v>
      </c>
      <c r="F51" s="15">
        <v>31</v>
      </c>
      <c r="G51" s="16"/>
      <c r="H51" s="15">
        <v>0</v>
      </c>
      <c r="I51" s="16">
        <v>431</v>
      </c>
      <c r="J51" s="15">
        <v>51</v>
      </c>
      <c r="K51" s="17">
        <v>330.4</v>
      </c>
      <c r="L51" s="15">
        <v>54</v>
      </c>
      <c r="M51" s="18">
        <v>139</v>
      </c>
      <c r="N51" s="19">
        <v>193</v>
      </c>
    </row>
    <row r="52" spans="1:14" ht="18" thickBot="1" thickTop="1">
      <c r="A52" s="1"/>
      <c r="B52" s="21" t="s">
        <v>45</v>
      </c>
      <c r="C52" s="14">
        <v>9.47</v>
      </c>
      <c r="D52" s="15">
        <v>39</v>
      </c>
      <c r="E52" s="14">
        <v>42</v>
      </c>
      <c r="F52" s="15">
        <v>49</v>
      </c>
      <c r="G52" s="16"/>
      <c r="H52" s="15">
        <v>0</v>
      </c>
      <c r="I52" s="16">
        <v>402</v>
      </c>
      <c r="J52" s="15">
        <v>41</v>
      </c>
      <c r="K52" s="17">
        <v>337.81</v>
      </c>
      <c r="L52" s="15">
        <v>46</v>
      </c>
      <c r="M52" s="18">
        <v>129</v>
      </c>
      <c r="N52" s="19">
        <v>175</v>
      </c>
    </row>
    <row r="53" spans="1:14" ht="18" thickBot="1" thickTop="1">
      <c r="A53" s="1"/>
      <c r="B53" s="21" t="s">
        <v>46</v>
      </c>
      <c r="C53" s="14">
        <v>9.16</v>
      </c>
      <c r="D53" s="15">
        <v>49</v>
      </c>
      <c r="E53" s="14">
        <v>26.5</v>
      </c>
      <c r="F53" s="15">
        <v>18</v>
      </c>
      <c r="G53" s="16"/>
      <c r="H53" s="15">
        <v>0</v>
      </c>
      <c r="I53" s="16">
        <v>420</v>
      </c>
      <c r="J53" s="15">
        <v>47</v>
      </c>
      <c r="K53" s="17">
        <v>338.92</v>
      </c>
      <c r="L53" s="15">
        <v>45</v>
      </c>
      <c r="M53" s="18">
        <v>114</v>
      </c>
      <c r="N53" s="19">
        <v>159</v>
      </c>
    </row>
    <row r="54" spans="1:14" ht="16.5" thickBot="1" thickTop="1">
      <c r="A54" s="3" t="s">
        <v>6</v>
      </c>
      <c r="B54" s="20" t="s">
        <v>10</v>
      </c>
      <c r="C54" s="4" t="s">
        <v>11</v>
      </c>
      <c r="D54" s="6" t="s">
        <v>12</v>
      </c>
      <c r="E54" s="7" t="s">
        <v>13</v>
      </c>
      <c r="F54" s="6" t="s">
        <v>12</v>
      </c>
      <c r="G54" s="6" t="s">
        <v>14</v>
      </c>
      <c r="H54" s="6" t="s">
        <v>12</v>
      </c>
      <c r="I54" s="6" t="s">
        <v>15</v>
      </c>
      <c r="J54" s="6" t="s">
        <v>12</v>
      </c>
      <c r="K54" s="8" t="s">
        <v>16</v>
      </c>
      <c r="L54" s="6" t="s">
        <v>12</v>
      </c>
      <c r="M54" s="5" t="s">
        <v>17</v>
      </c>
      <c r="N54" s="5" t="s">
        <v>18</v>
      </c>
    </row>
    <row r="55" spans="1:14" ht="18" thickBot="1" thickTop="1">
      <c r="A55" s="2"/>
      <c r="B55" s="21" t="s">
        <v>47</v>
      </c>
      <c r="C55" s="14">
        <v>8.69</v>
      </c>
      <c r="D55" s="15">
        <v>65</v>
      </c>
      <c r="E55" s="14">
        <v>31</v>
      </c>
      <c r="F55" s="15">
        <v>27</v>
      </c>
      <c r="G55" s="16"/>
      <c r="H55" s="15">
        <v>0</v>
      </c>
      <c r="I55" s="16">
        <v>493</v>
      </c>
      <c r="J55" s="15">
        <v>72</v>
      </c>
      <c r="K55" s="17">
        <v>334.71</v>
      </c>
      <c r="L55" s="15">
        <v>49</v>
      </c>
      <c r="M55" s="18">
        <v>164</v>
      </c>
      <c r="N55" s="19">
        <v>213</v>
      </c>
    </row>
    <row r="56" spans="1:14" ht="18" thickBot="1" thickTop="1">
      <c r="A56" s="9"/>
      <c r="B56" s="21" t="s">
        <v>48</v>
      </c>
      <c r="C56" s="14">
        <v>8.9</v>
      </c>
      <c r="D56" s="15">
        <v>58</v>
      </c>
      <c r="E56" s="14">
        <v>44</v>
      </c>
      <c r="F56" s="15">
        <v>53</v>
      </c>
      <c r="G56" s="16"/>
      <c r="H56" s="15">
        <v>0</v>
      </c>
      <c r="I56" s="16">
        <v>413</v>
      </c>
      <c r="J56" s="15">
        <v>45</v>
      </c>
      <c r="K56" s="17">
        <v>358.85</v>
      </c>
      <c r="L56" s="15">
        <v>27</v>
      </c>
      <c r="M56" s="18">
        <v>156</v>
      </c>
      <c r="N56" s="19">
        <v>183</v>
      </c>
    </row>
    <row r="57" spans="1:14" ht="18" thickBot="1" thickTop="1">
      <c r="A57" s="9" t="s">
        <v>63</v>
      </c>
      <c r="B57" s="21" t="s">
        <v>49</v>
      </c>
      <c r="C57" s="14">
        <v>9.38</v>
      </c>
      <c r="D57" s="15">
        <v>42</v>
      </c>
      <c r="E57" s="14">
        <v>28</v>
      </c>
      <c r="F57" s="15">
        <v>21</v>
      </c>
      <c r="G57" s="16"/>
      <c r="H57" s="15">
        <v>0</v>
      </c>
      <c r="I57" s="16">
        <v>372</v>
      </c>
      <c r="J57" s="15">
        <v>31</v>
      </c>
      <c r="K57" s="17">
        <v>354.96</v>
      </c>
      <c r="L57" s="15">
        <v>30</v>
      </c>
      <c r="M57" s="18">
        <v>94</v>
      </c>
      <c r="N57" s="19">
        <v>124</v>
      </c>
    </row>
    <row r="58" spans="1:14" ht="18" thickBot="1" thickTop="1">
      <c r="A58" s="2"/>
      <c r="B58" s="21" t="s">
        <v>50</v>
      </c>
      <c r="C58" s="14">
        <v>9.93</v>
      </c>
      <c r="D58" s="15">
        <v>29</v>
      </c>
      <c r="E58" s="14">
        <v>27.5</v>
      </c>
      <c r="F58" s="15">
        <v>20</v>
      </c>
      <c r="G58" s="16"/>
      <c r="H58" s="15">
        <v>0</v>
      </c>
      <c r="I58" s="16">
        <v>380</v>
      </c>
      <c r="J58" s="15">
        <v>34</v>
      </c>
      <c r="K58" s="17">
        <v>351.92</v>
      </c>
      <c r="L58" s="15">
        <v>32</v>
      </c>
      <c r="M58" s="18">
        <v>83</v>
      </c>
      <c r="N58" s="19">
        <v>115</v>
      </c>
    </row>
    <row r="59" spans="1:14" ht="18" thickBot="1" thickTop="1">
      <c r="A59" s="2"/>
      <c r="B59" s="21" t="s">
        <v>51</v>
      </c>
      <c r="C59" s="14">
        <v>9.22</v>
      </c>
      <c r="D59" s="15">
        <v>47</v>
      </c>
      <c r="E59" s="14">
        <v>18.5</v>
      </c>
      <c r="F59" s="15">
        <v>2</v>
      </c>
      <c r="G59" s="16"/>
      <c r="H59" s="15">
        <v>0</v>
      </c>
      <c r="I59" s="16">
        <v>382</v>
      </c>
      <c r="J59" s="15">
        <v>35</v>
      </c>
      <c r="K59" s="17">
        <v>337.8</v>
      </c>
      <c r="L59" s="15">
        <v>46</v>
      </c>
      <c r="M59" s="18">
        <v>84</v>
      </c>
      <c r="N59" s="19">
        <v>130</v>
      </c>
    </row>
    <row r="60" spans="1:14" ht="18" thickBot="1" thickTop="1">
      <c r="A60" s="2"/>
      <c r="B60" s="21">
        <v>0</v>
      </c>
      <c r="C60" s="14"/>
      <c r="D60" s="15">
        <v>0</v>
      </c>
      <c r="E60" s="14"/>
      <c r="F60" s="15">
        <v>0</v>
      </c>
      <c r="G60" s="16"/>
      <c r="H60" s="15">
        <v>0</v>
      </c>
      <c r="I60" s="16"/>
      <c r="J60" s="15">
        <v>0</v>
      </c>
      <c r="K60" s="17"/>
      <c r="L60" s="15">
        <v>0</v>
      </c>
      <c r="M60" s="18">
        <v>0</v>
      </c>
      <c r="N60" s="19">
        <v>0</v>
      </c>
    </row>
    <row r="61" spans="1:14" ht="16.5" thickBot="1" thickTop="1">
      <c r="A61" s="3" t="s">
        <v>7</v>
      </c>
      <c r="B61" s="20" t="s">
        <v>10</v>
      </c>
      <c r="C61" s="4" t="s">
        <v>11</v>
      </c>
      <c r="D61" s="6" t="s">
        <v>12</v>
      </c>
      <c r="E61" s="7" t="s">
        <v>13</v>
      </c>
      <c r="F61" s="6" t="s">
        <v>12</v>
      </c>
      <c r="G61" s="6" t="s">
        <v>14</v>
      </c>
      <c r="H61" s="6" t="s">
        <v>12</v>
      </c>
      <c r="I61" s="6" t="s">
        <v>15</v>
      </c>
      <c r="J61" s="6" t="s">
        <v>12</v>
      </c>
      <c r="K61" s="8" t="s">
        <v>16</v>
      </c>
      <c r="L61" s="6" t="s">
        <v>12</v>
      </c>
      <c r="M61" s="5" t="s">
        <v>17</v>
      </c>
      <c r="N61" s="5" t="s">
        <v>18</v>
      </c>
    </row>
    <row r="62" spans="1:14" ht="18" thickBot="1" thickTop="1">
      <c r="A62" s="1"/>
      <c r="B62" s="21" t="s">
        <v>52</v>
      </c>
      <c r="C62" s="14">
        <v>8.69</v>
      </c>
      <c r="D62" s="15">
        <v>65</v>
      </c>
      <c r="E62" s="14">
        <v>48</v>
      </c>
      <c r="F62" s="15">
        <v>61</v>
      </c>
      <c r="G62" s="16"/>
      <c r="H62" s="15">
        <v>0</v>
      </c>
      <c r="I62" s="16">
        <v>466</v>
      </c>
      <c r="J62" s="15">
        <v>63</v>
      </c>
      <c r="K62" s="17">
        <v>340.47</v>
      </c>
      <c r="L62" s="15">
        <v>43</v>
      </c>
      <c r="M62" s="18">
        <v>189</v>
      </c>
      <c r="N62" s="19">
        <v>232</v>
      </c>
    </row>
    <row r="63" spans="1:14" ht="18" thickBot="1" thickTop="1">
      <c r="A63" s="9"/>
      <c r="B63" s="21" t="s">
        <v>53</v>
      </c>
      <c r="C63" s="14">
        <v>9.77</v>
      </c>
      <c r="D63" s="15">
        <v>32</v>
      </c>
      <c r="E63" s="14">
        <v>42</v>
      </c>
      <c r="F63" s="15">
        <v>49</v>
      </c>
      <c r="G63" s="16"/>
      <c r="H63" s="15">
        <v>0</v>
      </c>
      <c r="I63" s="16">
        <v>388</v>
      </c>
      <c r="J63" s="15">
        <v>37</v>
      </c>
      <c r="K63" s="17">
        <v>345.7</v>
      </c>
      <c r="L63" s="15">
        <v>38</v>
      </c>
      <c r="M63" s="18">
        <v>118</v>
      </c>
      <c r="N63" s="19">
        <v>156</v>
      </c>
    </row>
    <row r="64" spans="1:14" ht="18" thickBot="1" thickTop="1">
      <c r="A64" s="9" t="s">
        <v>62</v>
      </c>
      <c r="B64" s="21" t="s">
        <v>54</v>
      </c>
      <c r="C64" s="14">
        <v>8.9</v>
      </c>
      <c r="D64" s="15">
        <v>58</v>
      </c>
      <c r="E64" s="14">
        <v>23</v>
      </c>
      <c r="F64" s="15">
        <v>11</v>
      </c>
      <c r="G64" s="16"/>
      <c r="H64" s="15">
        <v>0</v>
      </c>
      <c r="I64" s="16">
        <v>395</v>
      </c>
      <c r="J64" s="15">
        <v>39</v>
      </c>
      <c r="K64" s="17" t="s">
        <v>55</v>
      </c>
      <c r="L64" s="15">
        <v>0</v>
      </c>
      <c r="M64" s="18">
        <v>108</v>
      </c>
      <c r="N64" s="19">
        <v>108</v>
      </c>
    </row>
    <row r="65" spans="1:14" ht="18" thickBot="1" thickTop="1">
      <c r="A65" s="1"/>
      <c r="B65" s="21" t="s">
        <v>56</v>
      </c>
      <c r="C65" s="14">
        <v>10.04</v>
      </c>
      <c r="D65" s="15">
        <v>27</v>
      </c>
      <c r="E65" s="14">
        <v>27.5</v>
      </c>
      <c r="F65" s="15">
        <v>20</v>
      </c>
      <c r="G65" s="16"/>
      <c r="H65" s="15">
        <v>0</v>
      </c>
      <c r="I65" s="16">
        <v>344</v>
      </c>
      <c r="J65" s="15">
        <v>20</v>
      </c>
      <c r="K65" s="17">
        <v>357.83</v>
      </c>
      <c r="L65" s="15">
        <v>27</v>
      </c>
      <c r="M65" s="18">
        <v>67</v>
      </c>
      <c r="N65" s="19">
        <v>94</v>
      </c>
    </row>
    <row r="66" spans="1:14" ht="18" thickBot="1" thickTop="1">
      <c r="A66" s="1"/>
      <c r="B66" s="21" t="s">
        <v>57</v>
      </c>
      <c r="C66" s="14">
        <v>9.12</v>
      </c>
      <c r="D66" s="15">
        <v>50</v>
      </c>
      <c r="E66" s="14">
        <v>39</v>
      </c>
      <c r="F66" s="15">
        <v>43</v>
      </c>
      <c r="G66" s="16"/>
      <c r="H66" s="15">
        <v>0</v>
      </c>
      <c r="I66" s="16">
        <v>400</v>
      </c>
      <c r="J66" s="15">
        <v>41</v>
      </c>
      <c r="K66" s="17">
        <v>404.75</v>
      </c>
      <c r="L66" s="15">
        <v>22</v>
      </c>
      <c r="M66" s="18">
        <v>134</v>
      </c>
      <c r="N66" s="19">
        <v>156</v>
      </c>
    </row>
    <row r="67" spans="1:14" ht="18" thickBot="1" thickTop="1">
      <c r="A67" s="1"/>
      <c r="B67" s="21" t="s">
        <v>58</v>
      </c>
      <c r="C67" s="14">
        <v>8.55</v>
      </c>
      <c r="D67" s="15">
        <v>69</v>
      </c>
      <c r="E67" s="14">
        <v>23.5</v>
      </c>
      <c r="F67" s="15">
        <v>12</v>
      </c>
      <c r="G67" s="16"/>
      <c r="H67" s="15">
        <v>0</v>
      </c>
      <c r="I67" s="16">
        <v>386</v>
      </c>
      <c r="J67" s="15">
        <v>36</v>
      </c>
      <c r="K67" s="17">
        <v>505.49</v>
      </c>
      <c r="L67" s="15">
        <v>0</v>
      </c>
      <c r="M67" s="18">
        <v>117</v>
      </c>
      <c r="N67" s="19">
        <v>117</v>
      </c>
    </row>
    <row r="68" spans="1:14" ht="16.5" thickBot="1" thickTop="1">
      <c r="A68" s="3" t="s">
        <v>8</v>
      </c>
      <c r="B68" s="20" t="s">
        <v>10</v>
      </c>
      <c r="C68" s="4" t="s">
        <v>11</v>
      </c>
      <c r="D68" s="6" t="s">
        <v>12</v>
      </c>
      <c r="E68" s="7" t="s">
        <v>13</v>
      </c>
      <c r="F68" s="6" t="s">
        <v>12</v>
      </c>
      <c r="G68" s="6" t="s">
        <v>14</v>
      </c>
      <c r="H68" s="6" t="s">
        <v>12</v>
      </c>
      <c r="I68" s="6" t="s">
        <v>15</v>
      </c>
      <c r="J68" s="6" t="s">
        <v>12</v>
      </c>
      <c r="K68" s="8" t="s">
        <v>16</v>
      </c>
      <c r="L68" s="6" t="s">
        <v>12</v>
      </c>
      <c r="M68" s="5" t="s">
        <v>17</v>
      </c>
      <c r="N68" s="5" t="s">
        <v>18</v>
      </c>
    </row>
    <row r="69" spans="1:14" ht="18" thickBot="1" thickTop="1">
      <c r="A69" s="2"/>
      <c r="B69" s="21" t="s">
        <v>60</v>
      </c>
      <c r="C69" s="14">
        <v>9.11</v>
      </c>
      <c r="D69" s="15">
        <v>51</v>
      </c>
      <c r="E69" s="14">
        <v>33</v>
      </c>
      <c r="F69" s="15">
        <v>31</v>
      </c>
      <c r="G69" s="16"/>
      <c r="H69" s="15">
        <v>0</v>
      </c>
      <c r="I69" s="16">
        <v>414</v>
      </c>
      <c r="J69" s="15">
        <v>45</v>
      </c>
      <c r="K69" s="17">
        <v>352.16</v>
      </c>
      <c r="L69" s="15">
        <v>32</v>
      </c>
      <c r="M69" s="18">
        <v>127</v>
      </c>
      <c r="N69" s="19">
        <v>159</v>
      </c>
    </row>
    <row r="70" spans="1:14" ht="18" thickBot="1" thickTop="1">
      <c r="A70" s="9"/>
      <c r="B70" s="21" t="s">
        <v>61</v>
      </c>
      <c r="C70" s="14">
        <v>10.05</v>
      </c>
      <c r="D70" s="15">
        <v>27</v>
      </c>
      <c r="E70" s="14">
        <v>33</v>
      </c>
      <c r="F70" s="15">
        <v>31</v>
      </c>
      <c r="G70" s="16"/>
      <c r="H70" s="15">
        <v>0</v>
      </c>
      <c r="I70" s="16">
        <v>344</v>
      </c>
      <c r="J70" s="15">
        <v>20</v>
      </c>
      <c r="K70" s="17">
        <v>426.33</v>
      </c>
      <c r="L70" s="15">
        <v>8</v>
      </c>
      <c r="M70" s="18">
        <v>78</v>
      </c>
      <c r="N70" s="19">
        <v>86</v>
      </c>
    </row>
    <row r="71" spans="1:14" ht="18" thickBot="1" thickTop="1">
      <c r="A71" s="9" t="s">
        <v>59</v>
      </c>
      <c r="B71" s="21">
        <v>0</v>
      </c>
      <c r="C71" s="14"/>
      <c r="D71" s="15">
        <v>0</v>
      </c>
      <c r="E71" s="14"/>
      <c r="F71" s="15">
        <v>0</v>
      </c>
      <c r="G71" s="16"/>
      <c r="H71" s="15">
        <v>0</v>
      </c>
      <c r="I71" s="16"/>
      <c r="J71" s="15">
        <v>0</v>
      </c>
      <c r="K71" s="17"/>
      <c r="L71" s="15">
        <v>0</v>
      </c>
      <c r="M71" s="18">
        <v>0</v>
      </c>
      <c r="N71" s="19">
        <v>0</v>
      </c>
    </row>
    <row r="72" spans="1:14" ht="18" thickBot="1" thickTop="1">
      <c r="A72" s="2"/>
      <c r="B72" s="21">
        <v>0</v>
      </c>
      <c r="C72" s="14"/>
      <c r="D72" s="15">
        <v>0</v>
      </c>
      <c r="E72" s="14"/>
      <c r="F72" s="15">
        <v>0</v>
      </c>
      <c r="G72" s="16"/>
      <c r="H72" s="15">
        <v>0</v>
      </c>
      <c r="I72" s="16"/>
      <c r="J72" s="15">
        <v>0</v>
      </c>
      <c r="K72" s="17"/>
      <c r="L72" s="15">
        <v>0</v>
      </c>
      <c r="M72" s="18">
        <v>0</v>
      </c>
      <c r="N72" s="19">
        <v>0</v>
      </c>
    </row>
    <row r="73" spans="1:14" ht="17.25" thickTop="1">
      <c r="A73" s="2"/>
      <c r="B73" s="28"/>
      <c r="C73" s="29" t="s">
        <v>194</v>
      </c>
      <c r="D73" s="30"/>
      <c r="E73" s="22"/>
      <c r="F73" s="23"/>
      <c r="G73" s="24"/>
      <c r="H73" s="23"/>
      <c r="I73" s="24"/>
      <c r="J73" s="23"/>
      <c r="K73" s="25"/>
      <c r="L73" s="23"/>
      <c r="M73" s="26"/>
      <c r="N73" s="27"/>
    </row>
    <row r="74" spans="1:4" ht="15.75">
      <c r="A74" s="31">
        <v>1</v>
      </c>
      <c r="B74" s="35" t="s">
        <v>69</v>
      </c>
      <c r="C74" s="33" t="s">
        <v>70</v>
      </c>
      <c r="D74" s="32"/>
    </row>
    <row r="75" spans="1:4" ht="15.75">
      <c r="A75" s="31">
        <v>2</v>
      </c>
      <c r="B75" s="35" t="s">
        <v>71</v>
      </c>
      <c r="C75" s="33" t="s">
        <v>72</v>
      </c>
      <c r="D75" s="32"/>
    </row>
    <row r="76" spans="1:4" ht="15.75">
      <c r="A76" s="31">
        <v>3</v>
      </c>
      <c r="B76" s="35" t="s">
        <v>73</v>
      </c>
      <c r="C76" s="34" t="s">
        <v>74</v>
      </c>
      <c r="D76" s="32"/>
    </row>
    <row r="77" spans="1:4" ht="15.75">
      <c r="A77" s="31">
        <v>4</v>
      </c>
      <c r="B77" s="35" t="s">
        <v>75</v>
      </c>
      <c r="C77" s="33" t="s">
        <v>76</v>
      </c>
      <c r="D77" s="32"/>
    </row>
    <row r="78" spans="1:4" ht="15.75">
      <c r="A78" s="31">
        <v>5</v>
      </c>
      <c r="B78" s="35" t="s">
        <v>77</v>
      </c>
      <c r="C78" s="33" t="s">
        <v>78</v>
      </c>
      <c r="D78" s="32"/>
    </row>
    <row r="79" spans="1:4" ht="15.75">
      <c r="A79" s="31">
        <v>6</v>
      </c>
      <c r="B79" s="35" t="s">
        <v>79</v>
      </c>
      <c r="C79" s="33" t="s">
        <v>80</v>
      </c>
      <c r="D79" s="32"/>
    </row>
    <row r="80" spans="1:4" ht="15.75">
      <c r="A80" s="31">
        <v>7</v>
      </c>
      <c r="B80" s="35" t="s">
        <v>81</v>
      </c>
      <c r="C80" s="33" t="s">
        <v>82</v>
      </c>
      <c r="D80" s="32"/>
    </row>
    <row r="81" spans="1:4" ht="15.75">
      <c r="A81" s="32"/>
      <c r="B81" s="41" t="s">
        <v>83</v>
      </c>
      <c r="C81" s="32"/>
      <c r="D81" s="32"/>
    </row>
    <row r="82" spans="2:6" ht="15.75" thickBot="1">
      <c r="B82" s="42" t="s">
        <v>10</v>
      </c>
      <c r="C82" s="43" t="s">
        <v>84</v>
      </c>
      <c r="D82" s="42" t="s">
        <v>88</v>
      </c>
      <c r="E82" s="42" t="s">
        <v>85</v>
      </c>
      <c r="F82" s="42" t="s">
        <v>86</v>
      </c>
    </row>
    <row r="83" spans="2:7" ht="17.25" thickBot="1" thickTop="1">
      <c r="B83" s="36" t="str">
        <f aca="true" t="shared" si="0" ref="B83:B124">INDEX($E$13:$G$251,D83,3)</f>
        <v>SKOWWRON KACPER</v>
      </c>
      <c r="C83" s="37">
        <f>LARGE($E$13:$E$251,1)</f>
        <v>242.00019</v>
      </c>
      <c r="D83" s="38">
        <f aca="true" t="shared" si="1" ref="D83:D123">MATCH(C83,$E$13:$E$251,0)</f>
        <v>19</v>
      </c>
      <c r="E83" s="39" t="str">
        <f>INDEX($E$13:$F$251,D83,2)</f>
        <v>4.PSP 1 STASZÓW</v>
      </c>
      <c r="F83" s="40">
        <v>1</v>
      </c>
      <c r="G83" t="s">
        <v>87</v>
      </c>
    </row>
    <row r="84" spans="2:6" ht="17.25" thickBot="1" thickTop="1">
      <c r="B84" s="36" t="str">
        <f t="shared" si="0"/>
        <v>CZOŁBA Marcin</v>
      </c>
      <c r="C84" s="37">
        <f>LARGE($E$13:$E$251,2)</f>
        <v>238.00001</v>
      </c>
      <c r="D84" s="38">
        <f t="shared" si="1"/>
        <v>1</v>
      </c>
      <c r="E84" s="39" t="s">
        <v>73</v>
      </c>
      <c r="F84" s="40">
        <v>2</v>
      </c>
    </row>
    <row r="85" spans="2:6" ht="17.25" thickBot="1" thickTop="1">
      <c r="B85" s="36" t="str">
        <f t="shared" si="0"/>
        <v>KLIMCZYK KACPER</v>
      </c>
      <c r="C85" s="37">
        <f>LARGE($E$13:$E$251,3)</f>
        <v>232.00049</v>
      </c>
      <c r="D85" s="38">
        <f t="shared" si="1"/>
        <v>49</v>
      </c>
      <c r="E85" s="39" t="str">
        <f aca="true" t="shared" si="2" ref="E85:E123">INDEX($E$13:$F$251,D85,2)</f>
        <v>9. SSP 1 KAZIMIERZA W.</v>
      </c>
      <c r="F85" s="40">
        <v>3</v>
      </c>
    </row>
    <row r="86" spans="2:6" ht="17.25" thickBot="1" thickTop="1">
      <c r="B86" s="36" t="str">
        <f t="shared" si="0"/>
        <v>ADAMKIEWICZ BARTOSZ</v>
      </c>
      <c r="C86" s="37">
        <f>LARGE($E$13:$E$251,4)</f>
        <v>213.00031</v>
      </c>
      <c r="D86" s="38">
        <f t="shared" si="1"/>
        <v>31</v>
      </c>
      <c r="E86" s="39" t="str">
        <f t="shared" si="2"/>
        <v>6. PSP 2 STASZÓW</v>
      </c>
      <c r="F86" s="40">
        <v>4</v>
      </c>
    </row>
    <row r="87" spans="2:6" ht="17.25" thickBot="1" thickTop="1">
      <c r="B87" s="36" t="str">
        <f t="shared" si="0"/>
        <v>KULIG DAWID</v>
      </c>
      <c r="C87" s="37">
        <f>LARGE($E$13:$E$251,5)</f>
        <v>209.00026</v>
      </c>
      <c r="D87" s="38">
        <f t="shared" si="1"/>
        <v>26</v>
      </c>
      <c r="E87" s="39" t="str">
        <f t="shared" si="2"/>
        <v>5.SP TUMLIN</v>
      </c>
      <c r="F87" s="40">
        <v>5</v>
      </c>
    </row>
    <row r="88" spans="2:6" ht="17.25" thickBot="1" thickTop="1">
      <c r="B88" s="36" t="str">
        <f t="shared" si="0"/>
        <v>STRACZYŃSKI IGNACY</v>
      </c>
      <c r="C88" s="37">
        <f>LARGE($E$13:$E$251,6)</f>
        <v>206.00011</v>
      </c>
      <c r="D88" s="38">
        <f t="shared" si="1"/>
        <v>11</v>
      </c>
      <c r="E88" s="39" t="str">
        <f t="shared" si="2"/>
        <v>2. SP PSP 1 BUSKO ZDRÓJ</v>
      </c>
      <c r="F88" s="40">
        <v>6</v>
      </c>
    </row>
    <row r="89" spans="2:6" ht="17.25" thickBot="1" thickTop="1">
      <c r="B89" s="36" t="str">
        <f t="shared" si="0"/>
        <v>BAŁA PIOTR</v>
      </c>
      <c r="C89" s="37">
        <f>LARGE($E$13:$E$251,7)</f>
        <v>202.00002</v>
      </c>
      <c r="D89" s="38">
        <f t="shared" si="1"/>
        <v>2</v>
      </c>
      <c r="E89" s="39" t="str">
        <f t="shared" si="2"/>
        <v>1. SP RYTWIANY</v>
      </c>
      <c r="F89" s="40">
        <v>7</v>
      </c>
    </row>
    <row r="90" spans="2:6" ht="17.25" thickBot="1" thickTop="1">
      <c r="B90" s="36" t="str">
        <f t="shared" si="0"/>
        <v>PALIŚ HUBERT</v>
      </c>
      <c r="C90" s="37">
        <f>LARGE($E$13:$E$251,8)</f>
        <v>197.0002</v>
      </c>
      <c r="D90" s="38">
        <f t="shared" si="1"/>
        <v>20</v>
      </c>
      <c r="E90" s="39" t="str">
        <f t="shared" si="2"/>
        <v>4.PSP 1 STASZÓW</v>
      </c>
      <c r="F90" s="40">
        <v>8</v>
      </c>
    </row>
    <row r="91" spans="2:6" ht="17.25" thickBot="1" thickTop="1">
      <c r="B91" s="36" t="str">
        <f t="shared" si="0"/>
        <v>KĘPSKI DAWID</v>
      </c>
      <c r="C91" s="37">
        <f>LARGE($E$13:$E$251,9)</f>
        <v>195.00007</v>
      </c>
      <c r="D91" s="38">
        <f t="shared" si="1"/>
        <v>7</v>
      </c>
      <c r="E91" s="39" t="str">
        <f t="shared" si="2"/>
        <v>2. SP PSP 1 BUSKO ZDRÓJ</v>
      </c>
      <c r="F91" s="40">
        <v>9</v>
      </c>
    </row>
    <row r="92" spans="2:6" ht="17.25" thickBot="1" thickTop="1">
      <c r="B92" s="36" t="str">
        <f t="shared" si="0"/>
        <v>SIKORA ADAM</v>
      </c>
      <c r="C92" s="37">
        <f>LARGE($E$13:$E$251,10)</f>
        <v>193.00028</v>
      </c>
      <c r="D92" s="38">
        <f t="shared" si="1"/>
        <v>28</v>
      </c>
      <c r="E92" s="39" t="str">
        <f t="shared" si="2"/>
        <v>5.SP TUMLIN</v>
      </c>
      <c r="F92" s="40">
        <v>10</v>
      </c>
    </row>
    <row r="93" spans="2:6" ht="17.25" thickBot="1" thickTop="1">
      <c r="B93" s="36" t="str">
        <f t="shared" si="0"/>
        <v>KAMIZELA OSKAR</v>
      </c>
      <c r="C93" s="37">
        <f>LARGE($E$13:$E$251,11)</f>
        <v>191.00027</v>
      </c>
      <c r="D93" s="38">
        <f t="shared" si="1"/>
        <v>27</v>
      </c>
      <c r="E93" s="39" t="str">
        <f t="shared" si="2"/>
        <v>5.SP TUMLIN</v>
      </c>
      <c r="F93" s="40">
        <v>11</v>
      </c>
    </row>
    <row r="94" spans="2:6" ht="17.25" thickBot="1" thickTop="1">
      <c r="B94" s="36" t="str">
        <f t="shared" si="0"/>
        <v>POCHEĆ PIOTR</v>
      </c>
      <c r="C94" s="37">
        <f>LARGE($E$13:$E$251,12)</f>
        <v>189.00015</v>
      </c>
      <c r="D94" s="38">
        <f t="shared" si="1"/>
        <v>15</v>
      </c>
      <c r="E94" s="39" t="str">
        <f t="shared" si="2"/>
        <v>3PSP PAWŁÓW</v>
      </c>
      <c r="F94" s="40">
        <v>12</v>
      </c>
    </row>
    <row r="95" spans="2:6" ht="17.25" thickBot="1" thickTop="1">
      <c r="B95" s="36" t="str">
        <f t="shared" si="0"/>
        <v>SZYSZKOWSKI KACPER</v>
      </c>
      <c r="C95" s="37">
        <f>LARGE($E$13:$E$251,13)</f>
        <v>183.00032</v>
      </c>
      <c r="D95" s="38">
        <f t="shared" si="1"/>
        <v>32</v>
      </c>
      <c r="E95" s="39" t="str">
        <f t="shared" si="2"/>
        <v>6. PSP 2 STASZÓW</v>
      </c>
      <c r="F95" s="40">
        <v>13</v>
      </c>
    </row>
    <row r="96" spans="2:6" ht="17.25" thickBot="1" thickTop="1">
      <c r="B96" s="36" t="str">
        <f t="shared" si="0"/>
        <v>ZALEWSKI PATRYK</v>
      </c>
      <c r="C96" s="37">
        <f>LARGE($E$13:$E$251,14)</f>
        <v>183.00025</v>
      </c>
      <c r="D96" s="38">
        <f t="shared" si="1"/>
        <v>25</v>
      </c>
      <c r="E96" s="39" t="str">
        <f t="shared" si="2"/>
        <v>5.SP TUMLIN</v>
      </c>
      <c r="F96" s="40">
        <v>14</v>
      </c>
    </row>
    <row r="97" spans="2:6" ht="17.25" thickBot="1" thickTop="1">
      <c r="B97" s="36" t="str">
        <f t="shared" si="0"/>
        <v>STĘPLEWSKI IGNACY</v>
      </c>
      <c r="C97" s="37">
        <f>LARGE($E$13:$E$251,15)</f>
        <v>180.0001</v>
      </c>
      <c r="D97" s="38">
        <f t="shared" si="1"/>
        <v>10</v>
      </c>
      <c r="E97" s="39" t="str">
        <f t="shared" si="2"/>
        <v>2. SP PSP 1 BUSKO ZDRÓJ</v>
      </c>
      <c r="F97" s="40">
        <v>15</v>
      </c>
    </row>
    <row r="98" spans="2:6" ht="17.25" thickBot="1" thickTop="1">
      <c r="B98" s="36" t="str">
        <f t="shared" si="0"/>
        <v>BAZAK GABRIEL</v>
      </c>
      <c r="C98" s="37">
        <f>LARGE($E$13:$E$251,16)</f>
        <v>179.00021</v>
      </c>
      <c r="D98" s="38">
        <f t="shared" si="1"/>
        <v>21</v>
      </c>
      <c r="E98" s="39" t="str">
        <f t="shared" si="2"/>
        <v>4.PSP 1 STASZÓW</v>
      </c>
      <c r="F98" s="40">
        <v>16</v>
      </c>
    </row>
    <row r="99" spans="2:6" ht="17.25" thickBot="1" thickTop="1">
      <c r="B99" s="36" t="str">
        <f t="shared" si="0"/>
        <v>JÓZWIK KACPER</v>
      </c>
      <c r="C99" s="37">
        <f>LARGE($E$13:$E$251,17)</f>
        <v>179.00013</v>
      </c>
      <c r="D99" s="38">
        <f t="shared" si="1"/>
        <v>13</v>
      </c>
      <c r="E99" s="39" t="str">
        <f t="shared" si="2"/>
        <v>3PSP PAWŁÓW</v>
      </c>
      <c r="F99" s="40">
        <v>17</v>
      </c>
    </row>
    <row r="100" spans="2:6" ht="17.25" thickBot="1" thickTop="1">
      <c r="B100" s="36" t="str">
        <f t="shared" si="0"/>
        <v>NIEBUDEK MIKOŁAJ</v>
      </c>
      <c r="C100" s="37">
        <f>LARGE($E$13:$E$251,18)</f>
        <v>175.00029</v>
      </c>
      <c r="D100" s="38">
        <f t="shared" si="1"/>
        <v>29</v>
      </c>
      <c r="E100" s="39" t="str">
        <f t="shared" si="2"/>
        <v>5.SP TUMLIN</v>
      </c>
      <c r="F100" s="40">
        <v>18</v>
      </c>
    </row>
    <row r="101" spans="2:6" ht="17.25" thickBot="1" thickTop="1">
      <c r="B101" s="36" t="str">
        <f t="shared" si="0"/>
        <v>KOZIOŁ SZYMON</v>
      </c>
      <c r="C101" s="37">
        <f>LARGE($E$13:$E$251,19)</f>
        <v>162.00004</v>
      </c>
      <c r="D101" s="38">
        <f t="shared" si="1"/>
        <v>4</v>
      </c>
      <c r="E101" s="39" t="str">
        <f t="shared" si="2"/>
        <v>1. SP RYTWIANY</v>
      </c>
      <c r="F101" s="40">
        <v>19</v>
      </c>
    </row>
    <row r="102" spans="2:6" ht="17.25" thickBot="1" thickTop="1">
      <c r="B102" s="36" t="str">
        <f t="shared" si="0"/>
        <v>BASIAK ERYK TUM</v>
      </c>
      <c r="C102" s="37">
        <f>LARGE($E$13:$E$251,20)</f>
        <v>159.00043</v>
      </c>
      <c r="D102" s="38">
        <f t="shared" si="1"/>
        <v>43</v>
      </c>
      <c r="E102" s="39" t="str">
        <f t="shared" si="2"/>
        <v>PK</v>
      </c>
      <c r="F102" s="40">
        <v>20</v>
      </c>
    </row>
    <row r="103" spans="2:6" ht="17.25" thickBot="1" thickTop="1">
      <c r="B103" s="36" t="str">
        <f t="shared" si="0"/>
        <v>STEFAŃSKI FILIP</v>
      </c>
      <c r="C103" s="37">
        <f>LARGE($E$13:$E$251,21)</f>
        <v>159.0003</v>
      </c>
      <c r="D103" s="38">
        <f t="shared" si="1"/>
        <v>30</v>
      </c>
      <c r="E103" s="39" t="str">
        <f t="shared" si="2"/>
        <v>5.SP TUMLIN</v>
      </c>
      <c r="F103" s="40">
        <v>21</v>
      </c>
    </row>
    <row r="104" spans="2:6" ht="17.25" thickBot="1" thickTop="1">
      <c r="B104" s="36" t="str">
        <f t="shared" si="0"/>
        <v>MICHALSKI MACIEJ</v>
      </c>
      <c r="C104" s="37">
        <f>LARGE($E$13:$E$251,22)</f>
        <v>156.00053</v>
      </c>
      <c r="D104" s="38">
        <f t="shared" si="1"/>
        <v>53</v>
      </c>
      <c r="E104" s="39" t="str">
        <f t="shared" si="2"/>
        <v>9. SSP 1 KAZIMIERZA W.</v>
      </c>
      <c r="F104" s="40">
        <v>22</v>
      </c>
    </row>
    <row r="105" spans="2:6" ht="17.25" thickBot="1" thickTop="1">
      <c r="B105" s="36" t="str">
        <f t="shared" si="0"/>
        <v>BOGACKI MATEUSZ</v>
      </c>
      <c r="C105" s="37">
        <f>LARGE($E$13:$E$251,23)</f>
        <v>156.0005</v>
      </c>
      <c r="D105" s="38">
        <f t="shared" si="1"/>
        <v>50</v>
      </c>
      <c r="E105" s="39" t="str">
        <f t="shared" si="2"/>
        <v>9. SSP 1 KAZIMIERZA W.</v>
      </c>
      <c r="F105" s="40">
        <v>23</v>
      </c>
    </row>
    <row r="106" spans="2:6" ht="17.25" thickBot="1" thickTop="1">
      <c r="B106" s="36" t="str">
        <f t="shared" si="0"/>
        <v>ZAMOZIEWICZ ANTONI</v>
      </c>
      <c r="C106" s="37">
        <f>LARGE($E$13:$E$251,24)</f>
        <v>154.00022</v>
      </c>
      <c r="D106" s="38">
        <f t="shared" si="1"/>
        <v>22</v>
      </c>
      <c r="E106" s="39" t="str">
        <f t="shared" si="2"/>
        <v>4.PSP 1 STASZÓW</v>
      </c>
      <c r="F106" s="40">
        <v>24</v>
      </c>
    </row>
    <row r="107" spans="2:6" ht="17.25" thickBot="1" thickTop="1">
      <c r="B107" s="36" t="str">
        <f t="shared" si="0"/>
        <v>STACHURSKI BŁAŻEJ</v>
      </c>
      <c r="C107" s="37">
        <f>LARGE($E$13:$E$251,25)</f>
        <v>154.00009</v>
      </c>
      <c r="D107" s="38">
        <f t="shared" si="1"/>
        <v>9</v>
      </c>
      <c r="E107" s="39" t="str">
        <f t="shared" si="2"/>
        <v>2. SP PSP 1 BUSKO ZDRÓJ</v>
      </c>
      <c r="F107" s="40">
        <v>25</v>
      </c>
    </row>
    <row r="108" spans="2:6" ht="17.25" thickBot="1" thickTop="1">
      <c r="B108" s="36" t="str">
        <f t="shared" si="0"/>
        <v>DAMASIEWICZ SZYMON</v>
      </c>
      <c r="C108" s="37">
        <f>LARGE($E$13:$E$251,26)</f>
        <v>151.00003</v>
      </c>
      <c r="D108" s="38">
        <f t="shared" si="1"/>
        <v>3</v>
      </c>
      <c r="E108" s="39" t="str">
        <f t="shared" si="2"/>
        <v>1. SP RYTWIANY</v>
      </c>
      <c r="F108" s="40">
        <v>26</v>
      </c>
    </row>
    <row r="109" spans="2:6" ht="17.25" thickBot="1" thickTop="1">
      <c r="B109" s="36" t="str">
        <f t="shared" si="0"/>
        <v>BĄK KSAWERY</v>
      </c>
      <c r="C109" s="37">
        <f>LARGE($E$13:$E$251,27)</f>
        <v>149.00023</v>
      </c>
      <c r="D109" s="38">
        <f t="shared" si="1"/>
        <v>23</v>
      </c>
      <c r="E109" s="39" t="str">
        <f t="shared" si="2"/>
        <v>4.PSP 1 STASZÓW</v>
      </c>
      <c r="F109" s="40">
        <v>27</v>
      </c>
    </row>
    <row r="110" spans="2:6" ht="17.25" thickBot="1" thickTop="1">
      <c r="B110" s="36" t="str">
        <f t="shared" si="0"/>
        <v>PAŁKA DAWID</v>
      </c>
      <c r="C110" s="37">
        <f>LARGE($E$13:$E$251,28)</f>
        <v>136.00005</v>
      </c>
      <c r="D110" s="38">
        <f t="shared" si="1"/>
        <v>5</v>
      </c>
      <c r="E110" s="39" t="str">
        <f t="shared" si="2"/>
        <v>1. SP RYTWIANY</v>
      </c>
      <c r="F110" s="40">
        <v>28</v>
      </c>
    </row>
    <row r="111" spans="2:6" ht="17.25" thickBot="1" thickTop="1">
      <c r="B111" s="36" t="str">
        <f t="shared" si="0"/>
        <v>KURAŚ WIKTOR </v>
      </c>
      <c r="C111" s="37">
        <f>LARGE($E$13:$E$251,29)</f>
        <v>130.00035</v>
      </c>
      <c r="D111" s="38">
        <f t="shared" si="1"/>
        <v>35</v>
      </c>
      <c r="E111" s="39" t="str">
        <f t="shared" si="2"/>
        <v>6. PSP 2 STASZÓW</v>
      </c>
      <c r="F111" s="40">
        <v>29</v>
      </c>
    </row>
    <row r="112" spans="2:6" ht="17.25" thickBot="1" thickTop="1">
      <c r="B112" s="36" t="str">
        <f t="shared" si="0"/>
        <v>ACHTENBERG DOMINIK</v>
      </c>
      <c r="C112" s="37">
        <f>LARGE($E$13:$E$251,30)</f>
        <v>129.00024</v>
      </c>
      <c r="D112" s="38">
        <f t="shared" si="1"/>
        <v>24</v>
      </c>
      <c r="E112" s="39" t="str">
        <f t="shared" si="2"/>
        <v>4.PSP 1 STASZÓW</v>
      </c>
      <c r="F112" s="40">
        <v>30</v>
      </c>
    </row>
    <row r="113" spans="2:6" ht="17.25" thickBot="1" thickTop="1">
      <c r="B113" s="36" t="str">
        <f t="shared" si="0"/>
        <v>SKORUPA ADAM</v>
      </c>
      <c r="C113" s="37">
        <f>LARGE($E$13:$E$251,31)</f>
        <v>128.00014</v>
      </c>
      <c r="D113" s="38">
        <f t="shared" si="1"/>
        <v>14</v>
      </c>
      <c r="E113" s="39" t="str">
        <f t="shared" si="2"/>
        <v>3PSP PAWŁÓW</v>
      </c>
      <c r="F113" s="40">
        <v>31</v>
      </c>
    </row>
    <row r="114" spans="2:6" ht="17.25" thickBot="1" thickTop="1">
      <c r="B114" s="36" t="str">
        <f t="shared" si="0"/>
        <v>SZOSTAK KAROL</v>
      </c>
      <c r="C114" s="37">
        <f>LARGE($E$13:$E$251,32)</f>
        <v>124.00033</v>
      </c>
      <c r="D114" s="38">
        <f t="shared" si="1"/>
        <v>33</v>
      </c>
      <c r="E114" s="39" t="str">
        <f t="shared" si="2"/>
        <v>6. PSP 2 STASZÓW</v>
      </c>
      <c r="F114" s="40">
        <v>32</v>
      </c>
    </row>
    <row r="115" spans="2:6" ht="17.25" thickBot="1" thickTop="1">
      <c r="B115" s="36" t="str">
        <f t="shared" si="0"/>
        <v>CIEPIELEWSKI WOJCIECH</v>
      </c>
      <c r="C115" s="37">
        <f>LARGE($E$13:$E$251,33)</f>
        <v>123.00017</v>
      </c>
      <c r="D115" s="38">
        <f t="shared" si="1"/>
        <v>17</v>
      </c>
      <c r="E115" s="39" t="str">
        <f t="shared" si="2"/>
        <v>3PSP PAWŁÓW</v>
      </c>
      <c r="F115" s="40">
        <v>33</v>
      </c>
    </row>
    <row r="116" spans="2:6" ht="17.25" thickBot="1" thickTop="1">
      <c r="B116" s="36" t="str">
        <f t="shared" si="0"/>
        <v>DĄBROWSKI MARCEL</v>
      </c>
      <c r="C116" s="37">
        <f>LARGE($E$13:$E$251,34)</f>
        <v>123.00006</v>
      </c>
      <c r="D116" s="38">
        <f t="shared" si="1"/>
        <v>6</v>
      </c>
      <c r="E116" s="39" t="str">
        <f t="shared" si="2"/>
        <v>1. SP RYTWIANY</v>
      </c>
      <c r="F116" s="40">
        <v>34</v>
      </c>
    </row>
    <row r="117" spans="2:6" ht="17.25" thickBot="1" thickTop="1">
      <c r="B117" s="36" t="str">
        <f t="shared" si="0"/>
        <v>RADECKI ANTONI</v>
      </c>
      <c r="C117" s="37">
        <f>LARGE($E$13:$E$251,35)</f>
        <v>120.00016</v>
      </c>
      <c r="D117" s="38">
        <f t="shared" si="1"/>
        <v>16</v>
      </c>
      <c r="E117" s="39" t="str">
        <f t="shared" si="2"/>
        <v>3PSP PAWŁÓW</v>
      </c>
      <c r="F117" s="40">
        <v>35</v>
      </c>
    </row>
    <row r="118" spans="2:6" ht="17.25" thickBot="1" thickTop="1">
      <c r="B118" s="36" t="str">
        <f t="shared" si="0"/>
        <v>MICHALEC KACPER</v>
      </c>
      <c r="C118" s="37">
        <f>LARGE($E$13:$E$251,36)</f>
        <v>117.00054</v>
      </c>
      <c r="D118" s="38">
        <f t="shared" si="1"/>
        <v>54</v>
      </c>
      <c r="E118" s="39" t="str">
        <f t="shared" si="2"/>
        <v>9. SSP 1 KAZIMIERZA W.</v>
      </c>
      <c r="F118" s="40">
        <v>36</v>
      </c>
    </row>
    <row r="119" spans="2:6" ht="17.25" thickBot="1" thickTop="1">
      <c r="B119" s="36" t="str">
        <f t="shared" si="0"/>
        <v>ŻAL WIKTOR</v>
      </c>
      <c r="C119" s="37">
        <f>LARGE($E$13:$E$251,37)</f>
        <v>115.00034</v>
      </c>
      <c r="D119" s="38">
        <f t="shared" si="1"/>
        <v>34</v>
      </c>
      <c r="E119" s="39" t="str">
        <f t="shared" si="2"/>
        <v>6. PSP 2 STASZÓW</v>
      </c>
      <c r="F119" s="40">
        <v>37</v>
      </c>
    </row>
    <row r="120" spans="2:6" ht="17.25" thickBot="1" thickTop="1">
      <c r="B120" s="36" t="str">
        <f t="shared" si="0"/>
        <v>SADŁOCHA IGOR</v>
      </c>
      <c r="C120" s="37">
        <f>LARGE($E$13:$E$251,38)</f>
        <v>110.00008</v>
      </c>
      <c r="D120" s="38">
        <f t="shared" si="1"/>
        <v>8</v>
      </c>
      <c r="E120" s="39" t="str">
        <f t="shared" si="2"/>
        <v>2. SP PSP 1 BUSKO ZDRÓJ</v>
      </c>
      <c r="F120" s="40">
        <v>38</v>
      </c>
    </row>
    <row r="121" spans="2:6" ht="17.25" thickBot="1" thickTop="1">
      <c r="B121" s="36" t="str">
        <f t="shared" si="0"/>
        <v>CZAJKA WOJCIECH</v>
      </c>
      <c r="C121" s="37">
        <f>LARGE($E$13:$E$251,39)</f>
        <v>108.00051</v>
      </c>
      <c r="D121" s="38">
        <f t="shared" si="1"/>
        <v>51</v>
      </c>
      <c r="E121" s="39" t="str">
        <f t="shared" si="2"/>
        <v>9. SSP 1 KAZIMIERZA W.</v>
      </c>
      <c r="F121" s="40">
        <v>39</v>
      </c>
    </row>
    <row r="122" spans="2:6" ht="17.25" thickBot="1" thickTop="1">
      <c r="B122" s="36" t="str">
        <f t="shared" si="0"/>
        <v>MADERAK ADRIAN</v>
      </c>
      <c r="C122" s="37">
        <f>LARGE($E$13:$E$251,40)</f>
        <v>94.00052</v>
      </c>
      <c r="D122" s="38">
        <f t="shared" si="1"/>
        <v>52</v>
      </c>
      <c r="E122" s="39" t="str">
        <f t="shared" si="2"/>
        <v>9. SSP 1 KAZIMIERZA W.</v>
      </c>
      <c r="F122" s="40">
        <v>40</v>
      </c>
    </row>
    <row r="123" spans="2:6" ht="17.25" thickBot="1" thickTop="1">
      <c r="B123" s="36" t="str">
        <f t="shared" si="0"/>
        <v>MYSIOR ERYK KAZ</v>
      </c>
      <c r="C123" s="37">
        <f>LARGE($E$13:$E$251,41)</f>
        <v>86.00044</v>
      </c>
      <c r="D123" s="38">
        <f t="shared" si="1"/>
        <v>44</v>
      </c>
      <c r="E123" s="39" t="str">
        <f t="shared" si="2"/>
        <v>PK</v>
      </c>
      <c r="F123" s="40">
        <v>41</v>
      </c>
    </row>
    <row r="124" spans="2:6" ht="17.25" thickBot="1" thickTop="1">
      <c r="B124" s="36">
        <f t="shared" si="0"/>
        <v>0</v>
      </c>
      <c r="C124" s="37">
        <f>LARGE($E$13:$E$251,42)</f>
        <v>0.0024</v>
      </c>
      <c r="D124" s="38"/>
      <c r="E124" s="39"/>
      <c r="F124" s="40"/>
    </row>
    <row r="125" ht="15" thickTop="1"/>
    <row r="126" spans="1:14" ht="14.25">
      <c r="A126" s="76" t="s">
        <v>89</v>
      </c>
      <c r="B126" s="77"/>
      <c r="C126" s="44" t="str">
        <f>A132</f>
        <v>1. SP CZAJKÓW</v>
      </c>
      <c r="D126" s="44" t="str">
        <f>A139</f>
        <v>2.SP PSP OLEŚNICA</v>
      </c>
      <c r="E126" s="44" t="str">
        <f>A146</f>
        <v>3. PSP 2 STĄPORKÓW</v>
      </c>
      <c r="F126" s="44" t="str">
        <f>A153</f>
        <v>4. PSP 1 STASZÓW</v>
      </c>
      <c r="G126" s="44" t="str">
        <f>A160</f>
        <v>5. SP NOWINY</v>
      </c>
      <c r="H126" s="44" t="str">
        <f>A167</f>
        <v>6.PSP CHYBICE</v>
      </c>
      <c r="I126" s="44" t="str">
        <f>A174</f>
        <v>7. SP TUMLIN</v>
      </c>
      <c r="J126" s="44" t="str">
        <f>A181</f>
        <v>8. PSP 2 STASZÓW</v>
      </c>
      <c r="K126" s="44" t="str">
        <f>A188</f>
        <v>9.SP 33 KIELCE</v>
      </c>
      <c r="L126" s="44" t="str">
        <f>A195</f>
        <v>10. PK</v>
      </c>
      <c r="M126" s="44">
        <f>A202</f>
        <v>0</v>
      </c>
      <c r="N126" s="44">
        <f>A209</f>
        <v>0</v>
      </c>
    </row>
    <row r="127" spans="1:14" ht="13.5" customHeight="1">
      <c r="A127" s="77"/>
      <c r="B127" s="77"/>
      <c r="C127" s="44">
        <f>A216</f>
        <v>0</v>
      </c>
      <c r="D127" s="44">
        <f>A223</f>
        <v>0</v>
      </c>
      <c r="E127" s="44">
        <f>A230</f>
        <v>0</v>
      </c>
      <c r="F127" s="44">
        <f>A237</f>
        <v>0</v>
      </c>
      <c r="G127" s="44">
        <f>A244</f>
        <v>0</v>
      </c>
      <c r="H127" s="44">
        <f>A251</f>
        <v>0</v>
      </c>
      <c r="I127" s="44">
        <f>A258</f>
        <v>0</v>
      </c>
      <c r="J127" s="44">
        <f>A265</f>
        <v>0</v>
      </c>
      <c r="K127" s="44" t="e">
        <f>#REF!</f>
        <v>#REF!</v>
      </c>
      <c r="L127" s="44">
        <f>A278</f>
        <v>0</v>
      </c>
      <c r="M127" s="44">
        <f>A285</f>
        <v>0</v>
      </c>
      <c r="N127" s="44">
        <f>A292</f>
        <v>0</v>
      </c>
    </row>
    <row r="128" spans="1:14" ht="14.25">
      <c r="A128" s="77"/>
      <c r="B128" s="77"/>
      <c r="C128" s="44">
        <f>A299</f>
        <v>0</v>
      </c>
      <c r="D128" s="44">
        <f>A306</f>
        <v>0</v>
      </c>
      <c r="E128" s="44">
        <f>A313</f>
        <v>0</v>
      </c>
      <c r="F128" s="44">
        <f>A320</f>
        <v>0</v>
      </c>
      <c r="G128" s="44">
        <f>A327</f>
        <v>0</v>
      </c>
      <c r="H128" s="44">
        <f>A334</f>
        <v>0</v>
      </c>
      <c r="I128" s="44">
        <f>A341</f>
        <v>0</v>
      </c>
      <c r="J128" s="44">
        <f>A348</f>
        <v>0</v>
      </c>
      <c r="K128" s="44">
        <f>A355</f>
        <v>0</v>
      </c>
      <c r="L128" s="44">
        <f>A362</f>
        <v>0</v>
      </c>
      <c r="M128" s="44">
        <f>A369</f>
        <v>0</v>
      </c>
      <c r="N128" s="44">
        <f>A376</f>
        <v>0</v>
      </c>
    </row>
    <row r="129" spans="1:14" ht="14.25">
      <c r="A129" s="77"/>
      <c r="B129" s="77"/>
      <c r="C129" s="44">
        <f>A383</f>
        <v>0</v>
      </c>
      <c r="D129" s="44">
        <f>A390</f>
        <v>0</v>
      </c>
      <c r="E129" s="44">
        <f>A397</f>
        <v>0</v>
      </c>
      <c r="F129" s="44">
        <f>A404</f>
        <v>0</v>
      </c>
      <c r="G129" s="45"/>
      <c r="H129" s="44"/>
      <c r="I129" s="45"/>
      <c r="J129" s="44"/>
      <c r="K129" s="45"/>
      <c r="L129" s="44"/>
      <c r="M129" s="45"/>
      <c r="N129" s="45"/>
    </row>
    <row r="130" spans="1:14" ht="14.25">
      <c r="A130" s="77"/>
      <c r="B130" s="77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5.75" thickBot="1">
      <c r="A131" s="77"/>
      <c r="B131" s="77"/>
      <c r="C131" s="46"/>
      <c r="D131" s="47"/>
      <c r="E131" s="47"/>
      <c r="F131" s="47"/>
      <c r="G131" s="47"/>
      <c r="H131" s="47"/>
      <c r="I131" s="47"/>
      <c r="J131" s="47"/>
      <c r="K131" s="47"/>
      <c r="L131" s="47"/>
      <c r="M131" s="46"/>
      <c r="N131" s="46"/>
    </row>
    <row r="132" spans="1:14" ht="16.5" thickBot="1" thickTop="1">
      <c r="A132" s="63" t="s">
        <v>155</v>
      </c>
      <c r="B132" s="20" t="s">
        <v>10</v>
      </c>
      <c r="C132" s="4" t="s">
        <v>11</v>
      </c>
      <c r="D132" s="6" t="s">
        <v>12</v>
      </c>
      <c r="E132" s="7" t="s">
        <v>13</v>
      </c>
      <c r="F132" s="6" t="s">
        <v>12</v>
      </c>
      <c r="G132" s="6" t="s">
        <v>14</v>
      </c>
      <c r="H132" s="6" t="s">
        <v>12</v>
      </c>
      <c r="I132" s="6" t="s">
        <v>15</v>
      </c>
      <c r="J132" s="6" t="s">
        <v>12</v>
      </c>
      <c r="K132" s="8" t="s">
        <v>90</v>
      </c>
      <c r="L132" s="6" t="s">
        <v>12</v>
      </c>
      <c r="M132" s="5" t="s">
        <v>17</v>
      </c>
      <c r="N132" s="5" t="s">
        <v>18</v>
      </c>
    </row>
    <row r="133" spans="1:14" ht="18" thickBot="1" thickTop="1">
      <c r="A133" s="61"/>
      <c r="B133" s="21" t="s">
        <v>96</v>
      </c>
      <c r="C133" s="14">
        <v>9.2</v>
      </c>
      <c r="D133" s="15">
        <v>71</v>
      </c>
      <c r="E133" s="14">
        <v>37.5</v>
      </c>
      <c r="F133" s="15">
        <v>66</v>
      </c>
      <c r="G133" s="16"/>
      <c r="H133" s="15">
        <v>0</v>
      </c>
      <c r="I133" s="16">
        <v>367</v>
      </c>
      <c r="J133" s="15">
        <v>43</v>
      </c>
      <c r="K133" s="17">
        <v>205.61</v>
      </c>
      <c r="L133" s="15">
        <v>63</v>
      </c>
      <c r="M133" s="18">
        <v>180</v>
      </c>
      <c r="N133" s="19">
        <v>243</v>
      </c>
    </row>
    <row r="134" spans="1:14" ht="18" thickBot="1" thickTop="1">
      <c r="A134" s="64"/>
      <c r="B134" s="21" t="s">
        <v>97</v>
      </c>
      <c r="C134" s="14">
        <v>9.16</v>
      </c>
      <c r="D134" s="15">
        <v>72</v>
      </c>
      <c r="E134" s="14">
        <v>33.5</v>
      </c>
      <c r="F134" s="15">
        <v>56</v>
      </c>
      <c r="G134" s="16"/>
      <c r="H134" s="15">
        <v>0</v>
      </c>
      <c r="I134" s="16">
        <v>408</v>
      </c>
      <c r="J134" s="15">
        <v>58</v>
      </c>
      <c r="K134" s="17">
        <v>203.03</v>
      </c>
      <c r="L134" s="15">
        <v>68</v>
      </c>
      <c r="M134" s="18">
        <v>186</v>
      </c>
      <c r="N134" s="19">
        <v>254</v>
      </c>
    </row>
    <row r="135" spans="1:14" ht="18" thickBot="1" thickTop="1">
      <c r="A135" s="64" t="s">
        <v>165</v>
      </c>
      <c r="B135" s="21" t="s">
        <v>98</v>
      </c>
      <c r="C135" s="14">
        <v>9.38</v>
      </c>
      <c r="D135" s="15">
        <v>64</v>
      </c>
      <c r="E135" s="14">
        <v>26</v>
      </c>
      <c r="F135" s="15">
        <v>36</v>
      </c>
      <c r="G135" s="16"/>
      <c r="H135" s="15">
        <v>0</v>
      </c>
      <c r="I135" s="16">
        <v>383</v>
      </c>
      <c r="J135" s="15">
        <v>48</v>
      </c>
      <c r="K135" s="17">
        <v>222.27</v>
      </c>
      <c r="L135" s="15">
        <v>33</v>
      </c>
      <c r="M135" s="18">
        <v>148</v>
      </c>
      <c r="N135" s="19">
        <v>181</v>
      </c>
    </row>
    <row r="136" spans="1:14" ht="18" thickBot="1" thickTop="1">
      <c r="A136" s="61"/>
      <c r="B136" s="21" t="s">
        <v>99</v>
      </c>
      <c r="C136" s="14">
        <v>9.86</v>
      </c>
      <c r="D136" s="15">
        <v>52</v>
      </c>
      <c r="E136" s="14">
        <v>27</v>
      </c>
      <c r="F136" s="15">
        <v>39</v>
      </c>
      <c r="G136" s="16"/>
      <c r="H136" s="15">
        <v>0</v>
      </c>
      <c r="I136" s="16">
        <v>355</v>
      </c>
      <c r="J136" s="15">
        <v>39</v>
      </c>
      <c r="K136" s="17">
        <v>206.69</v>
      </c>
      <c r="L136" s="15">
        <v>62</v>
      </c>
      <c r="M136" s="18">
        <v>130</v>
      </c>
      <c r="N136" s="19">
        <v>192</v>
      </c>
    </row>
    <row r="137" spans="1:14" ht="18" thickBot="1" thickTop="1">
      <c r="A137" s="61"/>
      <c r="B137" s="21" t="s">
        <v>100</v>
      </c>
      <c r="C137" s="14">
        <v>9.92</v>
      </c>
      <c r="D137" s="15">
        <v>50</v>
      </c>
      <c r="E137" s="14">
        <v>27.5</v>
      </c>
      <c r="F137" s="15">
        <v>40</v>
      </c>
      <c r="G137" s="16"/>
      <c r="H137" s="15">
        <v>0</v>
      </c>
      <c r="I137" s="16">
        <v>317</v>
      </c>
      <c r="J137" s="15">
        <v>26</v>
      </c>
      <c r="K137" s="17">
        <v>203.08</v>
      </c>
      <c r="L137" s="15">
        <v>68</v>
      </c>
      <c r="M137" s="18">
        <v>116</v>
      </c>
      <c r="N137" s="19">
        <v>184</v>
      </c>
    </row>
    <row r="138" spans="1:14" ht="18" thickBot="1" thickTop="1">
      <c r="A138" s="61"/>
      <c r="B138" s="21" t="s">
        <v>101</v>
      </c>
      <c r="C138" s="14">
        <v>9.48</v>
      </c>
      <c r="D138" s="15">
        <v>61</v>
      </c>
      <c r="E138" s="14">
        <v>25.5</v>
      </c>
      <c r="F138" s="15">
        <v>35</v>
      </c>
      <c r="G138" s="16"/>
      <c r="H138" s="15">
        <v>0</v>
      </c>
      <c r="I138" s="16">
        <v>383</v>
      </c>
      <c r="J138" s="15">
        <v>48</v>
      </c>
      <c r="K138" s="17">
        <v>207.43</v>
      </c>
      <c r="L138" s="15">
        <v>60</v>
      </c>
      <c r="M138" s="18">
        <v>144</v>
      </c>
      <c r="N138" s="19">
        <v>204</v>
      </c>
    </row>
    <row r="139" spans="1:14" ht="16.5" thickBot="1" thickTop="1">
      <c r="A139" s="63" t="s">
        <v>156</v>
      </c>
      <c r="B139" s="20" t="s">
        <v>10</v>
      </c>
      <c r="C139" s="4" t="s">
        <v>11</v>
      </c>
      <c r="D139" s="4" t="s">
        <v>12</v>
      </c>
      <c r="E139" s="7" t="s">
        <v>13</v>
      </c>
      <c r="F139" s="4" t="s">
        <v>12</v>
      </c>
      <c r="G139" s="6" t="s">
        <v>14</v>
      </c>
      <c r="H139" s="4" t="s">
        <v>12</v>
      </c>
      <c r="I139" s="6" t="s">
        <v>15</v>
      </c>
      <c r="J139" s="4" t="s">
        <v>12</v>
      </c>
      <c r="K139" s="8" t="s">
        <v>90</v>
      </c>
      <c r="L139" s="4" t="s">
        <v>12</v>
      </c>
      <c r="M139" s="5" t="s">
        <v>17</v>
      </c>
      <c r="N139" s="5" t="s">
        <v>18</v>
      </c>
    </row>
    <row r="140" spans="1:14" ht="18" thickBot="1" thickTop="1">
      <c r="A140" s="62"/>
      <c r="B140" s="21" t="s">
        <v>102</v>
      </c>
      <c r="C140" s="14">
        <v>9.28</v>
      </c>
      <c r="D140" s="15">
        <v>68</v>
      </c>
      <c r="E140" s="14">
        <v>28</v>
      </c>
      <c r="F140" s="15">
        <v>41</v>
      </c>
      <c r="G140" s="16"/>
      <c r="H140" s="15">
        <v>0</v>
      </c>
      <c r="I140" s="16">
        <v>400</v>
      </c>
      <c r="J140" s="15">
        <v>54</v>
      </c>
      <c r="K140" s="17">
        <v>203.44</v>
      </c>
      <c r="L140" s="15">
        <v>67</v>
      </c>
      <c r="M140" s="18">
        <v>163</v>
      </c>
      <c r="N140" s="19">
        <v>230</v>
      </c>
    </row>
    <row r="141" spans="1:14" ht="18" thickBot="1" thickTop="1">
      <c r="A141" s="64"/>
      <c r="B141" s="21" t="s">
        <v>103</v>
      </c>
      <c r="C141" s="14">
        <v>9.29</v>
      </c>
      <c r="D141" s="15">
        <v>67</v>
      </c>
      <c r="E141" s="14">
        <v>24</v>
      </c>
      <c r="F141" s="15">
        <v>32</v>
      </c>
      <c r="G141" s="16"/>
      <c r="H141" s="15">
        <v>0</v>
      </c>
      <c r="I141" s="16">
        <v>418</v>
      </c>
      <c r="J141" s="15">
        <v>63</v>
      </c>
      <c r="K141" s="17">
        <v>156.59</v>
      </c>
      <c r="L141" s="15">
        <v>81</v>
      </c>
      <c r="M141" s="18">
        <v>162</v>
      </c>
      <c r="N141" s="19">
        <v>243</v>
      </c>
    </row>
    <row r="142" spans="1:14" ht="18" thickBot="1" thickTop="1">
      <c r="A142" s="64" t="s">
        <v>166</v>
      </c>
      <c r="B142" s="21" t="s">
        <v>104</v>
      </c>
      <c r="C142" s="14">
        <v>9.76</v>
      </c>
      <c r="D142" s="15">
        <v>54</v>
      </c>
      <c r="E142" s="14">
        <v>32</v>
      </c>
      <c r="F142" s="15">
        <v>52</v>
      </c>
      <c r="G142" s="16"/>
      <c r="H142" s="15">
        <v>0</v>
      </c>
      <c r="I142" s="16">
        <v>379</v>
      </c>
      <c r="J142" s="15">
        <v>47</v>
      </c>
      <c r="K142" s="17">
        <v>209.21</v>
      </c>
      <c r="L142" s="15">
        <v>57</v>
      </c>
      <c r="M142" s="18">
        <v>153</v>
      </c>
      <c r="N142" s="19">
        <v>210</v>
      </c>
    </row>
    <row r="143" spans="1:14" ht="18" thickBot="1" thickTop="1">
      <c r="A143" s="62"/>
      <c r="B143" s="21" t="s">
        <v>105</v>
      </c>
      <c r="C143" s="14">
        <v>9.68</v>
      </c>
      <c r="D143" s="15">
        <v>56</v>
      </c>
      <c r="E143" s="14">
        <v>25</v>
      </c>
      <c r="F143" s="15">
        <v>34</v>
      </c>
      <c r="G143" s="16"/>
      <c r="H143" s="15">
        <v>0</v>
      </c>
      <c r="I143" s="16">
        <v>409</v>
      </c>
      <c r="J143" s="15">
        <v>59</v>
      </c>
      <c r="K143" s="17">
        <v>217.05</v>
      </c>
      <c r="L143" s="15">
        <v>43</v>
      </c>
      <c r="M143" s="18">
        <v>149</v>
      </c>
      <c r="N143" s="19">
        <v>192</v>
      </c>
    </row>
    <row r="144" spans="1:14" ht="18" thickBot="1" thickTop="1">
      <c r="A144" s="62"/>
      <c r="B144" s="21" t="s">
        <v>106</v>
      </c>
      <c r="C144" s="14">
        <v>9.73</v>
      </c>
      <c r="D144" s="15">
        <v>55</v>
      </c>
      <c r="E144" s="14">
        <v>24</v>
      </c>
      <c r="F144" s="15">
        <v>32</v>
      </c>
      <c r="G144" s="16"/>
      <c r="H144" s="15">
        <v>0</v>
      </c>
      <c r="I144" s="16">
        <v>370</v>
      </c>
      <c r="J144" s="15">
        <v>44</v>
      </c>
      <c r="K144" s="17">
        <v>212.4</v>
      </c>
      <c r="L144" s="15">
        <v>51</v>
      </c>
      <c r="M144" s="18">
        <v>131</v>
      </c>
      <c r="N144" s="19">
        <v>182</v>
      </c>
    </row>
    <row r="145" spans="1:14" ht="18" thickBot="1" thickTop="1">
      <c r="A145" s="62"/>
      <c r="B145" s="21" t="s">
        <v>107</v>
      </c>
      <c r="C145" s="14">
        <v>9.83</v>
      </c>
      <c r="D145" s="15">
        <v>52</v>
      </c>
      <c r="E145" s="14">
        <v>28</v>
      </c>
      <c r="F145" s="15">
        <v>41</v>
      </c>
      <c r="G145" s="16"/>
      <c r="H145" s="15">
        <v>0</v>
      </c>
      <c r="I145" s="16">
        <v>419</v>
      </c>
      <c r="J145" s="15">
        <v>64</v>
      </c>
      <c r="K145" s="17">
        <v>210.19</v>
      </c>
      <c r="L145" s="15">
        <v>55</v>
      </c>
      <c r="M145" s="18">
        <v>157</v>
      </c>
      <c r="N145" s="19">
        <v>212</v>
      </c>
    </row>
    <row r="146" spans="1:14" ht="16.5" thickBot="1" thickTop="1">
      <c r="A146" s="63" t="s">
        <v>157</v>
      </c>
      <c r="B146" s="20" t="s">
        <v>10</v>
      </c>
      <c r="C146" s="4" t="s">
        <v>11</v>
      </c>
      <c r="D146" s="4" t="s">
        <v>12</v>
      </c>
      <c r="E146" s="7" t="s">
        <v>13</v>
      </c>
      <c r="F146" s="4" t="s">
        <v>12</v>
      </c>
      <c r="G146" s="6" t="s">
        <v>14</v>
      </c>
      <c r="H146" s="4" t="s">
        <v>12</v>
      </c>
      <c r="I146" s="6" t="s">
        <v>15</v>
      </c>
      <c r="J146" s="4" t="s">
        <v>12</v>
      </c>
      <c r="K146" s="8" t="s">
        <v>90</v>
      </c>
      <c r="L146" s="4" t="s">
        <v>12</v>
      </c>
      <c r="M146" s="5" t="s">
        <v>17</v>
      </c>
      <c r="N146" s="5" t="s">
        <v>18</v>
      </c>
    </row>
    <row r="147" spans="1:14" ht="18" thickBot="1" thickTop="1">
      <c r="A147" s="61"/>
      <c r="B147" s="21" t="s">
        <v>108</v>
      </c>
      <c r="C147" s="14">
        <v>10.61</v>
      </c>
      <c r="D147" s="15">
        <v>33</v>
      </c>
      <c r="E147" s="14">
        <v>27</v>
      </c>
      <c r="F147" s="15">
        <v>39</v>
      </c>
      <c r="G147" s="16"/>
      <c r="H147" s="15">
        <v>0</v>
      </c>
      <c r="I147" s="16">
        <v>328</v>
      </c>
      <c r="J147" s="15">
        <v>30</v>
      </c>
      <c r="K147" s="17">
        <v>223.66</v>
      </c>
      <c r="L147" s="15">
        <v>31</v>
      </c>
      <c r="M147" s="18">
        <v>102</v>
      </c>
      <c r="N147" s="19">
        <v>133</v>
      </c>
    </row>
    <row r="148" spans="1:14" ht="18" thickBot="1" thickTop="1">
      <c r="A148" s="64"/>
      <c r="B148" s="21" t="s">
        <v>109</v>
      </c>
      <c r="C148" s="14">
        <v>10.28</v>
      </c>
      <c r="D148" s="15">
        <v>41</v>
      </c>
      <c r="E148" s="14">
        <v>30</v>
      </c>
      <c r="F148" s="15">
        <v>47</v>
      </c>
      <c r="G148" s="16"/>
      <c r="H148" s="15">
        <v>0</v>
      </c>
      <c r="I148" s="16">
        <v>322</v>
      </c>
      <c r="J148" s="15">
        <v>28</v>
      </c>
      <c r="K148" s="17"/>
      <c r="L148" s="15">
        <v>0</v>
      </c>
      <c r="M148" s="18">
        <v>116</v>
      </c>
      <c r="N148" s="19">
        <v>116</v>
      </c>
    </row>
    <row r="149" spans="1:14" ht="18" thickBot="1" thickTop="1">
      <c r="A149" s="64" t="s">
        <v>167</v>
      </c>
      <c r="B149" s="21" t="s">
        <v>110</v>
      </c>
      <c r="C149" s="14">
        <v>9.89</v>
      </c>
      <c r="D149" s="15">
        <v>51</v>
      </c>
      <c r="E149" s="14">
        <v>26.5</v>
      </c>
      <c r="F149" s="15">
        <v>37</v>
      </c>
      <c r="G149" s="16"/>
      <c r="H149" s="15">
        <v>0</v>
      </c>
      <c r="I149" s="16">
        <v>390</v>
      </c>
      <c r="J149" s="15">
        <v>50</v>
      </c>
      <c r="K149" s="17">
        <v>210.42</v>
      </c>
      <c r="L149" s="15">
        <v>55</v>
      </c>
      <c r="M149" s="18">
        <v>138</v>
      </c>
      <c r="N149" s="19">
        <v>193</v>
      </c>
    </row>
    <row r="150" spans="1:14" ht="18" thickBot="1" thickTop="1">
      <c r="A150" s="61"/>
      <c r="B150" s="21" t="s">
        <v>111</v>
      </c>
      <c r="C150" s="14">
        <v>9.23</v>
      </c>
      <c r="D150" s="15">
        <v>70</v>
      </c>
      <c r="E150" s="14">
        <v>24</v>
      </c>
      <c r="F150" s="15">
        <v>32</v>
      </c>
      <c r="G150" s="16"/>
      <c r="H150" s="15">
        <v>0</v>
      </c>
      <c r="I150" s="16">
        <v>384</v>
      </c>
      <c r="J150" s="15">
        <v>48</v>
      </c>
      <c r="K150" s="17">
        <v>210.19</v>
      </c>
      <c r="L150" s="15">
        <v>55</v>
      </c>
      <c r="M150" s="18">
        <v>150</v>
      </c>
      <c r="N150" s="19">
        <v>205</v>
      </c>
    </row>
    <row r="151" spans="1:14" ht="18" thickBot="1" thickTop="1">
      <c r="A151" s="61"/>
      <c r="B151" s="21" t="s">
        <v>112</v>
      </c>
      <c r="C151" s="14">
        <v>10.18</v>
      </c>
      <c r="D151" s="15">
        <v>44</v>
      </c>
      <c r="E151" s="14">
        <v>26.5</v>
      </c>
      <c r="F151" s="15">
        <v>37</v>
      </c>
      <c r="G151" s="16"/>
      <c r="H151" s="15">
        <v>0</v>
      </c>
      <c r="I151" s="16">
        <v>371</v>
      </c>
      <c r="J151" s="15">
        <v>44</v>
      </c>
      <c r="K151" s="17">
        <v>252.86</v>
      </c>
      <c r="L151" s="15">
        <v>0</v>
      </c>
      <c r="M151" s="18">
        <v>125</v>
      </c>
      <c r="N151" s="19">
        <v>125</v>
      </c>
    </row>
    <row r="152" spans="1:14" ht="18" thickBot="1" thickTop="1">
      <c r="A152" s="61"/>
      <c r="B152" s="21" t="s">
        <v>113</v>
      </c>
      <c r="C152" s="14">
        <v>10.18</v>
      </c>
      <c r="D152" s="15">
        <v>44</v>
      </c>
      <c r="E152" s="14">
        <v>36.5</v>
      </c>
      <c r="F152" s="15">
        <v>63</v>
      </c>
      <c r="G152" s="16"/>
      <c r="H152" s="15">
        <v>0</v>
      </c>
      <c r="I152" s="16">
        <v>333</v>
      </c>
      <c r="J152" s="15">
        <v>31</v>
      </c>
      <c r="K152" s="17">
        <v>233.19</v>
      </c>
      <c r="L152" s="15">
        <v>15</v>
      </c>
      <c r="M152" s="18">
        <v>138</v>
      </c>
      <c r="N152" s="19">
        <v>153</v>
      </c>
    </row>
    <row r="153" spans="1:14" ht="16.5" thickBot="1" thickTop="1">
      <c r="A153" s="63" t="s">
        <v>158</v>
      </c>
      <c r="B153" s="20" t="s">
        <v>10</v>
      </c>
      <c r="C153" s="4" t="s">
        <v>11</v>
      </c>
      <c r="D153" s="4" t="s">
        <v>12</v>
      </c>
      <c r="E153" s="7" t="s">
        <v>13</v>
      </c>
      <c r="F153" s="4" t="s">
        <v>12</v>
      </c>
      <c r="G153" s="6" t="s">
        <v>14</v>
      </c>
      <c r="H153" s="4" t="s">
        <v>12</v>
      </c>
      <c r="I153" s="6" t="s">
        <v>15</v>
      </c>
      <c r="J153" s="4" t="s">
        <v>12</v>
      </c>
      <c r="K153" s="8" t="s">
        <v>90</v>
      </c>
      <c r="L153" s="4" t="s">
        <v>12</v>
      </c>
      <c r="M153" s="5" t="s">
        <v>17</v>
      </c>
      <c r="N153" s="5" t="s">
        <v>18</v>
      </c>
    </row>
    <row r="154" spans="1:14" ht="18" thickBot="1" thickTop="1">
      <c r="A154" s="62"/>
      <c r="B154" s="21" t="s">
        <v>114</v>
      </c>
      <c r="C154" s="14">
        <v>9.5</v>
      </c>
      <c r="D154" s="15">
        <v>61</v>
      </c>
      <c r="E154" s="14">
        <v>24.5</v>
      </c>
      <c r="F154" s="15">
        <v>33</v>
      </c>
      <c r="G154" s="16"/>
      <c r="H154" s="15">
        <v>0</v>
      </c>
      <c r="I154" s="16">
        <v>386</v>
      </c>
      <c r="J154" s="15">
        <v>49</v>
      </c>
      <c r="K154" s="17">
        <v>203.11</v>
      </c>
      <c r="L154" s="15">
        <v>68</v>
      </c>
      <c r="M154" s="18">
        <v>143</v>
      </c>
      <c r="N154" s="19">
        <v>211</v>
      </c>
    </row>
    <row r="155" spans="1:14" ht="18" thickBot="1" thickTop="1">
      <c r="A155" s="64"/>
      <c r="B155" s="21" t="s">
        <v>115</v>
      </c>
      <c r="C155" s="14">
        <v>10.05</v>
      </c>
      <c r="D155" s="15">
        <v>47</v>
      </c>
      <c r="E155" s="14">
        <v>21</v>
      </c>
      <c r="F155" s="15">
        <v>26</v>
      </c>
      <c r="G155" s="16"/>
      <c r="H155" s="15">
        <v>0</v>
      </c>
      <c r="I155" s="16">
        <v>283</v>
      </c>
      <c r="J155" s="15">
        <v>15</v>
      </c>
      <c r="K155" s="17">
        <v>239.62</v>
      </c>
      <c r="L155" s="15">
        <v>7</v>
      </c>
      <c r="M155" s="18">
        <v>88</v>
      </c>
      <c r="N155" s="19">
        <v>95</v>
      </c>
    </row>
    <row r="156" spans="1:14" ht="18" thickBot="1" thickTop="1">
      <c r="A156" s="64" t="s">
        <v>168</v>
      </c>
      <c r="B156" s="21" t="s">
        <v>116</v>
      </c>
      <c r="C156" s="14">
        <v>10.36</v>
      </c>
      <c r="D156" s="15">
        <v>39</v>
      </c>
      <c r="E156" s="14">
        <v>18.5</v>
      </c>
      <c r="F156" s="15">
        <v>21</v>
      </c>
      <c r="G156" s="16"/>
      <c r="H156" s="15">
        <v>0</v>
      </c>
      <c r="I156" s="16">
        <v>350</v>
      </c>
      <c r="J156" s="15">
        <v>37</v>
      </c>
      <c r="K156" s="17">
        <v>221.46</v>
      </c>
      <c r="L156" s="15">
        <v>35</v>
      </c>
      <c r="M156" s="18">
        <v>97</v>
      </c>
      <c r="N156" s="19">
        <v>132</v>
      </c>
    </row>
    <row r="157" spans="1:14" ht="18" thickBot="1" thickTop="1">
      <c r="A157" s="62"/>
      <c r="B157" s="21" t="s">
        <v>117</v>
      </c>
      <c r="C157" s="14">
        <v>10.7</v>
      </c>
      <c r="D157" s="15">
        <v>31</v>
      </c>
      <c r="E157" s="14">
        <v>18.5</v>
      </c>
      <c r="F157" s="15">
        <v>21</v>
      </c>
      <c r="G157" s="16"/>
      <c r="H157" s="15">
        <v>0</v>
      </c>
      <c r="I157" s="16">
        <v>33.9</v>
      </c>
      <c r="J157" s="15">
        <v>0</v>
      </c>
      <c r="K157" s="17">
        <v>216.56</v>
      </c>
      <c r="L157" s="15">
        <v>44</v>
      </c>
      <c r="M157" s="18">
        <v>52</v>
      </c>
      <c r="N157" s="19">
        <v>96</v>
      </c>
    </row>
    <row r="158" spans="1:14" ht="18" thickBot="1" thickTop="1">
      <c r="A158" s="62"/>
      <c r="B158" s="21" t="s">
        <v>118</v>
      </c>
      <c r="C158" s="14">
        <v>9.17</v>
      </c>
      <c r="D158" s="15">
        <v>71</v>
      </c>
      <c r="E158" s="14">
        <v>21</v>
      </c>
      <c r="F158" s="15">
        <v>26</v>
      </c>
      <c r="G158" s="16"/>
      <c r="H158" s="15">
        <v>0</v>
      </c>
      <c r="I158" s="16">
        <v>368</v>
      </c>
      <c r="J158" s="15">
        <v>43</v>
      </c>
      <c r="K158" s="17">
        <v>205.45</v>
      </c>
      <c r="L158" s="15">
        <v>64</v>
      </c>
      <c r="M158" s="18">
        <v>140</v>
      </c>
      <c r="N158" s="19">
        <v>204</v>
      </c>
    </row>
    <row r="159" spans="1:14" ht="18" thickBot="1" thickTop="1">
      <c r="A159" s="62"/>
      <c r="B159" s="21">
        <v>0</v>
      </c>
      <c r="C159" s="14"/>
      <c r="D159" s="15">
        <v>0</v>
      </c>
      <c r="E159" s="14"/>
      <c r="F159" s="15">
        <v>0</v>
      </c>
      <c r="G159" s="16"/>
      <c r="H159" s="15">
        <v>0</v>
      </c>
      <c r="I159" s="16"/>
      <c r="J159" s="15">
        <v>0</v>
      </c>
      <c r="K159" s="17"/>
      <c r="L159" s="15">
        <v>0</v>
      </c>
      <c r="M159" s="18">
        <v>0</v>
      </c>
      <c r="N159" s="19">
        <v>0</v>
      </c>
    </row>
    <row r="160" spans="1:14" ht="16.5" thickBot="1" thickTop="1">
      <c r="A160" s="63" t="s">
        <v>159</v>
      </c>
      <c r="B160" s="20" t="s">
        <v>10</v>
      </c>
      <c r="C160" s="4" t="s">
        <v>11</v>
      </c>
      <c r="D160" s="4" t="s">
        <v>12</v>
      </c>
      <c r="E160" s="7" t="s">
        <v>13</v>
      </c>
      <c r="F160" s="4" t="s">
        <v>12</v>
      </c>
      <c r="G160" s="6" t="s">
        <v>14</v>
      </c>
      <c r="H160" s="4" t="s">
        <v>12</v>
      </c>
      <c r="I160" s="6" t="s">
        <v>15</v>
      </c>
      <c r="J160" s="4" t="s">
        <v>12</v>
      </c>
      <c r="K160" s="8" t="s">
        <v>90</v>
      </c>
      <c r="L160" s="4" t="s">
        <v>12</v>
      </c>
      <c r="M160" s="5" t="s">
        <v>17</v>
      </c>
      <c r="N160" s="5" t="s">
        <v>18</v>
      </c>
    </row>
    <row r="161" spans="1:14" ht="18" thickBot="1" thickTop="1">
      <c r="A161" s="61"/>
      <c r="B161" s="21" t="s">
        <v>119</v>
      </c>
      <c r="C161" s="14">
        <v>10.25</v>
      </c>
      <c r="D161" s="15">
        <v>42</v>
      </c>
      <c r="E161" s="14">
        <v>23.5</v>
      </c>
      <c r="F161" s="15">
        <v>31</v>
      </c>
      <c r="G161" s="16"/>
      <c r="H161" s="15">
        <v>0</v>
      </c>
      <c r="I161" s="16">
        <v>360</v>
      </c>
      <c r="J161" s="15">
        <v>40</v>
      </c>
      <c r="K161" s="17">
        <v>211.4</v>
      </c>
      <c r="L161" s="15">
        <v>53</v>
      </c>
      <c r="M161" s="18">
        <v>113</v>
      </c>
      <c r="N161" s="19">
        <v>166</v>
      </c>
    </row>
    <row r="162" spans="1:14" ht="18" thickBot="1" thickTop="1">
      <c r="A162" s="64"/>
      <c r="B162" s="21" t="s">
        <v>120</v>
      </c>
      <c r="C162" s="14">
        <v>10.21</v>
      </c>
      <c r="D162" s="15">
        <v>43</v>
      </c>
      <c r="E162" s="14">
        <v>23.5</v>
      </c>
      <c r="F162" s="15">
        <v>31</v>
      </c>
      <c r="G162" s="16"/>
      <c r="H162" s="15">
        <v>0</v>
      </c>
      <c r="I162" s="16">
        <v>380</v>
      </c>
      <c r="J162" s="15">
        <v>47</v>
      </c>
      <c r="K162" s="17">
        <v>218.7</v>
      </c>
      <c r="L162" s="15">
        <v>40</v>
      </c>
      <c r="M162" s="18">
        <v>121</v>
      </c>
      <c r="N162" s="19">
        <v>161</v>
      </c>
    </row>
    <row r="163" spans="1:14" ht="18" thickBot="1" thickTop="1">
      <c r="A163" s="64" t="s">
        <v>169</v>
      </c>
      <c r="B163" s="21" t="s">
        <v>121</v>
      </c>
      <c r="C163" s="14">
        <v>9.36</v>
      </c>
      <c r="D163" s="15">
        <v>64</v>
      </c>
      <c r="E163" s="14">
        <v>24</v>
      </c>
      <c r="F163" s="15">
        <v>32</v>
      </c>
      <c r="G163" s="16"/>
      <c r="H163" s="15">
        <v>0</v>
      </c>
      <c r="I163" s="16">
        <v>407</v>
      </c>
      <c r="J163" s="15">
        <v>58</v>
      </c>
      <c r="K163" s="17">
        <v>221.87</v>
      </c>
      <c r="L163" s="15">
        <v>34</v>
      </c>
      <c r="M163" s="18">
        <v>154</v>
      </c>
      <c r="N163" s="19">
        <v>188</v>
      </c>
    </row>
    <row r="164" spans="1:14" ht="18" thickBot="1" thickTop="1">
      <c r="A164" s="61"/>
      <c r="B164" s="21" t="s">
        <v>122</v>
      </c>
      <c r="C164" s="14">
        <v>9.61</v>
      </c>
      <c r="D164" s="15">
        <v>58</v>
      </c>
      <c r="E164" s="14">
        <v>19</v>
      </c>
      <c r="F164" s="15">
        <v>22</v>
      </c>
      <c r="G164" s="16"/>
      <c r="H164" s="15">
        <v>0</v>
      </c>
      <c r="I164" s="16">
        <v>413</v>
      </c>
      <c r="J164" s="15">
        <v>61</v>
      </c>
      <c r="K164" s="17">
        <v>212.58</v>
      </c>
      <c r="L164" s="15">
        <v>51</v>
      </c>
      <c r="M164" s="18">
        <v>141</v>
      </c>
      <c r="N164" s="19">
        <v>192</v>
      </c>
    </row>
    <row r="165" spans="1:14" ht="18" thickBot="1" thickTop="1">
      <c r="A165" s="61"/>
      <c r="B165" s="21" t="s">
        <v>123</v>
      </c>
      <c r="C165" s="14">
        <v>10.57</v>
      </c>
      <c r="D165" s="15">
        <v>34</v>
      </c>
      <c r="E165" s="14">
        <v>25</v>
      </c>
      <c r="F165" s="15">
        <v>34</v>
      </c>
      <c r="G165" s="16"/>
      <c r="H165" s="15">
        <v>0</v>
      </c>
      <c r="I165" s="16">
        <v>341</v>
      </c>
      <c r="J165" s="15">
        <v>34</v>
      </c>
      <c r="K165" s="17">
        <v>220.38</v>
      </c>
      <c r="L165" s="15">
        <v>37</v>
      </c>
      <c r="M165" s="18">
        <v>102</v>
      </c>
      <c r="N165" s="19">
        <v>139</v>
      </c>
    </row>
    <row r="166" spans="1:14" ht="18" thickBot="1" thickTop="1">
      <c r="A166" s="61"/>
      <c r="B166" s="21" t="s">
        <v>124</v>
      </c>
      <c r="C166" s="14">
        <v>10.71</v>
      </c>
      <c r="D166" s="15">
        <v>31</v>
      </c>
      <c r="E166" s="14"/>
      <c r="F166" s="15">
        <v>0</v>
      </c>
      <c r="G166" s="16"/>
      <c r="H166" s="15">
        <v>0</v>
      </c>
      <c r="I166" s="16">
        <v>333</v>
      </c>
      <c r="J166" s="15">
        <v>31</v>
      </c>
      <c r="K166" s="17">
        <v>240.68</v>
      </c>
      <c r="L166" s="15">
        <v>6</v>
      </c>
      <c r="M166" s="18">
        <v>62</v>
      </c>
      <c r="N166" s="19">
        <v>68</v>
      </c>
    </row>
    <row r="167" spans="1:14" ht="16.5" thickBot="1" thickTop="1">
      <c r="A167" s="63" t="s">
        <v>160</v>
      </c>
      <c r="B167" s="20" t="s">
        <v>10</v>
      </c>
      <c r="C167" s="4" t="s">
        <v>11</v>
      </c>
      <c r="D167" s="4" t="s">
        <v>12</v>
      </c>
      <c r="E167" s="7" t="s">
        <v>13</v>
      </c>
      <c r="F167" s="4" t="s">
        <v>12</v>
      </c>
      <c r="G167" s="6" t="s">
        <v>14</v>
      </c>
      <c r="H167" s="4" t="s">
        <v>12</v>
      </c>
      <c r="I167" s="6" t="s">
        <v>15</v>
      </c>
      <c r="J167" s="4" t="s">
        <v>12</v>
      </c>
      <c r="K167" s="8" t="s">
        <v>90</v>
      </c>
      <c r="L167" s="4" t="s">
        <v>12</v>
      </c>
      <c r="M167" s="5" t="s">
        <v>17</v>
      </c>
      <c r="N167" s="5" t="s">
        <v>18</v>
      </c>
    </row>
    <row r="168" spans="1:14" ht="18" thickBot="1" thickTop="1">
      <c r="A168" s="62"/>
      <c r="B168" s="21" t="s">
        <v>125</v>
      </c>
      <c r="C168" s="14">
        <v>10.2</v>
      </c>
      <c r="D168" s="15">
        <v>43</v>
      </c>
      <c r="E168" s="14">
        <v>23.5</v>
      </c>
      <c r="F168" s="15">
        <v>31</v>
      </c>
      <c r="G168" s="16"/>
      <c r="H168" s="15">
        <v>0</v>
      </c>
      <c r="I168" s="16">
        <v>368</v>
      </c>
      <c r="J168" s="15">
        <v>43</v>
      </c>
      <c r="K168" s="17">
        <v>226.32</v>
      </c>
      <c r="L168" s="15">
        <v>26</v>
      </c>
      <c r="M168" s="18">
        <v>117</v>
      </c>
      <c r="N168" s="19">
        <v>143</v>
      </c>
    </row>
    <row r="169" spans="1:14" ht="18" thickBot="1" thickTop="1">
      <c r="A169" s="64"/>
      <c r="B169" s="21" t="s">
        <v>126</v>
      </c>
      <c r="C169" s="14">
        <v>9.92</v>
      </c>
      <c r="D169" s="15">
        <v>50</v>
      </c>
      <c r="E169" s="14">
        <v>22.5</v>
      </c>
      <c r="F169" s="15">
        <v>29</v>
      </c>
      <c r="G169" s="16"/>
      <c r="H169" s="15">
        <v>0</v>
      </c>
      <c r="I169" s="16">
        <v>382</v>
      </c>
      <c r="J169" s="15">
        <v>48</v>
      </c>
      <c r="K169" s="17">
        <v>211.8</v>
      </c>
      <c r="L169" s="15">
        <v>52</v>
      </c>
      <c r="M169" s="18">
        <v>127</v>
      </c>
      <c r="N169" s="19">
        <v>179</v>
      </c>
    </row>
    <row r="170" spans="1:14" ht="18" thickBot="1" thickTop="1">
      <c r="A170" s="64" t="s">
        <v>170</v>
      </c>
      <c r="B170" s="21" t="s">
        <v>127</v>
      </c>
      <c r="C170" s="14">
        <v>10.55</v>
      </c>
      <c r="D170" s="15">
        <v>35</v>
      </c>
      <c r="E170" s="14">
        <v>22</v>
      </c>
      <c r="F170" s="15">
        <v>28</v>
      </c>
      <c r="G170" s="16"/>
      <c r="H170" s="15">
        <v>0</v>
      </c>
      <c r="I170" s="16">
        <v>352</v>
      </c>
      <c r="J170" s="15">
        <v>38</v>
      </c>
      <c r="K170" s="17">
        <v>227.13</v>
      </c>
      <c r="L170" s="15">
        <v>24</v>
      </c>
      <c r="M170" s="18">
        <v>101</v>
      </c>
      <c r="N170" s="19">
        <v>125</v>
      </c>
    </row>
    <row r="171" spans="1:14" ht="18" thickBot="1" thickTop="1">
      <c r="A171" s="62"/>
      <c r="B171" s="21" t="s">
        <v>128</v>
      </c>
      <c r="C171" s="14">
        <v>10.25</v>
      </c>
      <c r="D171" s="15">
        <v>42</v>
      </c>
      <c r="E171" s="14">
        <v>25</v>
      </c>
      <c r="F171" s="15">
        <v>34</v>
      </c>
      <c r="G171" s="16"/>
      <c r="H171" s="15">
        <v>0</v>
      </c>
      <c r="I171" s="16">
        <v>351</v>
      </c>
      <c r="J171" s="15">
        <v>37</v>
      </c>
      <c r="K171" s="17">
        <v>205.84</v>
      </c>
      <c r="L171" s="15">
        <v>63</v>
      </c>
      <c r="M171" s="18">
        <v>113</v>
      </c>
      <c r="N171" s="19">
        <v>176</v>
      </c>
    </row>
    <row r="172" spans="1:14" ht="18" thickBot="1" thickTop="1">
      <c r="A172" s="62"/>
      <c r="B172" s="21" t="s">
        <v>129</v>
      </c>
      <c r="C172" s="14">
        <v>9.93</v>
      </c>
      <c r="D172" s="15">
        <v>50</v>
      </c>
      <c r="E172" s="14">
        <v>19.5</v>
      </c>
      <c r="F172" s="15">
        <v>23</v>
      </c>
      <c r="G172" s="16"/>
      <c r="H172" s="15">
        <v>0</v>
      </c>
      <c r="I172" s="16">
        <v>366</v>
      </c>
      <c r="J172" s="15">
        <v>42</v>
      </c>
      <c r="K172" s="17">
        <v>206.98</v>
      </c>
      <c r="L172" s="15">
        <v>61</v>
      </c>
      <c r="M172" s="18">
        <v>115</v>
      </c>
      <c r="N172" s="19">
        <v>176</v>
      </c>
    </row>
    <row r="173" spans="1:14" ht="18" thickBot="1" thickTop="1">
      <c r="A173" s="62"/>
      <c r="B173" s="21" t="s">
        <v>130</v>
      </c>
      <c r="C173" s="14">
        <v>10.18</v>
      </c>
      <c r="D173" s="15">
        <v>44</v>
      </c>
      <c r="E173" s="14">
        <v>18.5</v>
      </c>
      <c r="F173" s="15">
        <v>21</v>
      </c>
      <c r="G173" s="16"/>
      <c r="H173" s="15">
        <v>0</v>
      </c>
      <c r="I173" s="16">
        <v>358</v>
      </c>
      <c r="J173" s="15">
        <v>40</v>
      </c>
      <c r="K173" s="17">
        <v>225.26</v>
      </c>
      <c r="L173" s="15">
        <v>28</v>
      </c>
      <c r="M173" s="18">
        <v>105</v>
      </c>
      <c r="N173" s="19">
        <v>133</v>
      </c>
    </row>
    <row r="174" spans="1:14" ht="16.5" thickBot="1" thickTop="1">
      <c r="A174" s="63" t="s">
        <v>161</v>
      </c>
      <c r="B174" s="20" t="s">
        <v>10</v>
      </c>
      <c r="C174" s="4" t="s">
        <v>11</v>
      </c>
      <c r="D174" s="4" t="s">
        <v>12</v>
      </c>
      <c r="E174" s="7" t="s">
        <v>13</v>
      </c>
      <c r="F174" s="4" t="s">
        <v>12</v>
      </c>
      <c r="G174" s="6" t="s">
        <v>14</v>
      </c>
      <c r="H174" s="4" t="s">
        <v>12</v>
      </c>
      <c r="I174" s="6" t="s">
        <v>15</v>
      </c>
      <c r="J174" s="4" t="s">
        <v>12</v>
      </c>
      <c r="K174" s="8" t="s">
        <v>90</v>
      </c>
      <c r="L174" s="4" t="s">
        <v>12</v>
      </c>
      <c r="M174" s="5" t="s">
        <v>17</v>
      </c>
      <c r="N174" s="5" t="s">
        <v>18</v>
      </c>
    </row>
    <row r="175" spans="1:14" ht="18" thickBot="1" thickTop="1">
      <c r="A175" s="61"/>
      <c r="B175" s="21" t="s">
        <v>131</v>
      </c>
      <c r="C175" s="14">
        <v>9.48</v>
      </c>
      <c r="D175" s="15">
        <v>61</v>
      </c>
      <c r="E175" s="14">
        <v>31.5</v>
      </c>
      <c r="F175" s="15">
        <v>51</v>
      </c>
      <c r="G175" s="16"/>
      <c r="H175" s="15">
        <v>0</v>
      </c>
      <c r="I175" s="16">
        <v>393</v>
      </c>
      <c r="J175" s="15">
        <v>51</v>
      </c>
      <c r="K175" s="17">
        <v>204.95</v>
      </c>
      <c r="L175" s="15">
        <v>65</v>
      </c>
      <c r="M175" s="18">
        <v>163</v>
      </c>
      <c r="N175" s="19">
        <v>228</v>
      </c>
    </row>
    <row r="176" spans="1:14" ht="18" thickBot="1" thickTop="1">
      <c r="A176" s="64"/>
      <c r="B176" s="21" t="s">
        <v>132</v>
      </c>
      <c r="C176" s="14">
        <v>10.9</v>
      </c>
      <c r="D176" s="15">
        <v>26</v>
      </c>
      <c r="E176" s="14">
        <v>26</v>
      </c>
      <c r="F176" s="15">
        <v>36</v>
      </c>
      <c r="G176" s="16"/>
      <c r="H176" s="15">
        <v>0</v>
      </c>
      <c r="I176" s="16">
        <v>358</v>
      </c>
      <c r="J176" s="15">
        <v>40</v>
      </c>
      <c r="K176" s="17">
        <v>206.47</v>
      </c>
      <c r="L176" s="15">
        <v>62</v>
      </c>
      <c r="M176" s="18">
        <v>102</v>
      </c>
      <c r="N176" s="19">
        <v>164</v>
      </c>
    </row>
    <row r="177" spans="1:14" ht="18" thickBot="1" thickTop="1">
      <c r="A177" s="64" t="s">
        <v>171</v>
      </c>
      <c r="B177" s="21" t="s">
        <v>133</v>
      </c>
      <c r="C177" s="14">
        <v>9.8</v>
      </c>
      <c r="D177" s="15">
        <v>53</v>
      </c>
      <c r="E177" s="14">
        <v>30</v>
      </c>
      <c r="F177" s="15">
        <v>47</v>
      </c>
      <c r="G177" s="16"/>
      <c r="H177" s="15">
        <v>0</v>
      </c>
      <c r="I177" s="16">
        <v>404</v>
      </c>
      <c r="J177" s="15">
        <v>56</v>
      </c>
      <c r="K177" s="17">
        <v>207.64</v>
      </c>
      <c r="L177" s="15">
        <v>60</v>
      </c>
      <c r="M177" s="18">
        <v>156</v>
      </c>
      <c r="N177" s="19">
        <v>216</v>
      </c>
    </row>
    <row r="178" spans="1:14" ht="18" thickBot="1" thickTop="1">
      <c r="A178" s="61"/>
      <c r="B178" s="21" t="s">
        <v>134</v>
      </c>
      <c r="C178" s="14">
        <v>9.23</v>
      </c>
      <c r="D178" s="15">
        <v>70</v>
      </c>
      <c r="E178" s="14">
        <v>25.5</v>
      </c>
      <c r="F178" s="15">
        <v>35</v>
      </c>
      <c r="G178" s="16"/>
      <c r="H178" s="15">
        <v>0</v>
      </c>
      <c r="I178" s="16">
        <v>432</v>
      </c>
      <c r="J178" s="15">
        <v>70</v>
      </c>
      <c r="K178" s="17">
        <v>214.49</v>
      </c>
      <c r="L178" s="15">
        <v>47</v>
      </c>
      <c r="M178" s="18">
        <v>175</v>
      </c>
      <c r="N178" s="19">
        <v>222</v>
      </c>
    </row>
    <row r="179" spans="1:14" ht="18" thickBot="1" thickTop="1">
      <c r="A179" s="61"/>
      <c r="B179" s="21" t="s">
        <v>135</v>
      </c>
      <c r="C179" s="14">
        <v>10.44</v>
      </c>
      <c r="D179" s="15">
        <v>37</v>
      </c>
      <c r="E179" s="14">
        <v>19</v>
      </c>
      <c r="F179" s="15">
        <v>22</v>
      </c>
      <c r="G179" s="16"/>
      <c r="H179" s="15">
        <v>0</v>
      </c>
      <c r="I179" s="16">
        <v>342</v>
      </c>
      <c r="J179" s="15">
        <v>34</v>
      </c>
      <c r="K179" s="17">
        <v>222.29</v>
      </c>
      <c r="L179" s="15">
        <v>33</v>
      </c>
      <c r="M179" s="18">
        <v>93</v>
      </c>
      <c r="N179" s="19">
        <v>126</v>
      </c>
    </row>
    <row r="180" spans="1:14" ht="18" thickBot="1" thickTop="1">
      <c r="A180" s="61"/>
      <c r="B180" s="21" t="s">
        <v>136</v>
      </c>
      <c r="C180" s="14">
        <v>9.17</v>
      </c>
      <c r="D180" s="15">
        <v>71</v>
      </c>
      <c r="E180" s="14">
        <v>21.5</v>
      </c>
      <c r="F180" s="15">
        <v>27</v>
      </c>
      <c r="G180" s="16"/>
      <c r="H180" s="15">
        <v>0</v>
      </c>
      <c r="I180" s="16">
        <v>392</v>
      </c>
      <c r="J180" s="15">
        <v>51</v>
      </c>
      <c r="K180" s="17">
        <v>210.53</v>
      </c>
      <c r="L180" s="15">
        <v>55</v>
      </c>
      <c r="M180" s="18">
        <v>149</v>
      </c>
      <c r="N180" s="19">
        <v>204</v>
      </c>
    </row>
    <row r="181" spans="1:14" ht="16.5" thickBot="1" thickTop="1">
      <c r="A181" s="63" t="s">
        <v>162</v>
      </c>
      <c r="B181" s="20" t="s">
        <v>10</v>
      </c>
      <c r="C181" s="4" t="s">
        <v>11</v>
      </c>
      <c r="D181" s="4" t="s">
        <v>12</v>
      </c>
      <c r="E181" s="7" t="s">
        <v>13</v>
      </c>
      <c r="F181" s="4" t="s">
        <v>12</v>
      </c>
      <c r="G181" s="6" t="s">
        <v>14</v>
      </c>
      <c r="H181" s="4" t="s">
        <v>12</v>
      </c>
      <c r="I181" s="6" t="s">
        <v>15</v>
      </c>
      <c r="J181" s="4" t="s">
        <v>12</v>
      </c>
      <c r="K181" s="8" t="s">
        <v>90</v>
      </c>
      <c r="L181" s="4" t="s">
        <v>12</v>
      </c>
      <c r="M181" s="5" t="s">
        <v>17</v>
      </c>
      <c r="N181" s="5" t="s">
        <v>18</v>
      </c>
    </row>
    <row r="182" spans="1:14" ht="18" thickBot="1" thickTop="1">
      <c r="A182" s="62"/>
      <c r="B182" s="21" t="s">
        <v>137</v>
      </c>
      <c r="C182" s="14">
        <v>9.05</v>
      </c>
      <c r="D182" s="15">
        <v>76</v>
      </c>
      <c r="E182" s="14">
        <v>28</v>
      </c>
      <c r="F182" s="15">
        <v>41</v>
      </c>
      <c r="G182" s="16"/>
      <c r="H182" s="15">
        <v>0</v>
      </c>
      <c r="I182" s="16">
        <v>409</v>
      </c>
      <c r="J182" s="15">
        <v>59</v>
      </c>
      <c r="K182" s="17">
        <v>210.98</v>
      </c>
      <c r="L182" s="15">
        <v>54</v>
      </c>
      <c r="M182" s="18">
        <v>176</v>
      </c>
      <c r="N182" s="19">
        <v>230</v>
      </c>
    </row>
    <row r="183" spans="1:14" ht="18" thickBot="1" thickTop="1">
      <c r="A183" s="64"/>
      <c r="B183" s="21" t="s">
        <v>138</v>
      </c>
      <c r="C183" s="14">
        <v>9.16</v>
      </c>
      <c r="D183" s="15">
        <v>72</v>
      </c>
      <c r="E183" s="14">
        <v>26</v>
      </c>
      <c r="F183" s="15">
        <v>36</v>
      </c>
      <c r="G183" s="16"/>
      <c r="H183" s="15">
        <v>0</v>
      </c>
      <c r="I183" s="16">
        <v>381</v>
      </c>
      <c r="J183" s="15">
        <v>47</v>
      </c>
      <c r="K183" s="17">
        <v>205.53</v>
      </c>
      <c r="L183" s="15">
        <v>64</v>
      </c>
      <c r="M183" s="18">
        <v>155</v>
      </c>
      <c r="N183" s="19">
        <v>219</v>
      </c>
    </row>
    <row r="184" spans="1:14" ht="18" thickBot="1" thickTop="1">
      <c r="A184" s="64" t="s">
        <v>172</v>
      </c>
      <c r="B184" s="21" t="s">
        <v>139</v>
      </c>
      <c r="C184" s="14">
        <v>9.45</v>
      </c>
      <c r="D184" s="15">
        <v>62</v>
      </c>
      <c r="E184" s="14">
        <v>25.5</v>
      </c>
      <c r="F184" s="15">
        <v>35</v>
      </c>
      <c r="G184" s="16"/>
      <c r="H184" s="15">
        <v>0</v>
      </c>
      <c r="I184" s="16">
        <v>380</v>
      </c>
      <c r="J184" s="15">
        <v>47</v>
      </c>
      <c r="K184" s="17">
        <v>208.4</v>
      </c>
      <c r="L184" s="15">
        <v>58</v>
      </c>
      <c r="M184" s="18">
        <v>144</v>
      </c>
      <c r="N184" s="19">
        <v>202</v>
      </c>
    </row>
    <row r="185" spans="1:14" ht="18" thickBot="1" thickTop="1">
      <c r="A185" s="62"/>
      <c r="B185" s="21" t="s">
        <v>140</v>
      </c>
      <c r="C185" s="14">
        <v>9.31</v>
      </c>
      <c r="D185" s="15">
        <v>66</v>
      </c>
      <c r="E185" s="14">
        <v>22</v>
      </c>
      <c r="F185" s="15">
        <v>28</v>
      </c>
      <c r="G185" s="16"/>
      <c r="H185" s="15">
        <v>0</v>
      </c>
      <c r="I185" s="16">
        <v>390</v>
      </c>
      <c r="J185" s="15">
        <v>50</v>
      </c>
      <c r="K185" s="17">
        <v>217.39</v>
      </c>
      <c r="L185" s="15">
        <v>42</v>
      </c>
      <c r="M185" s="18">
        <v>144</v>
      </c>
      <c r="N185" s="19">
        <v>186</v>
      </c>
    </row>
    <row r="186" spans="1:14" ht="18" thickBot="1" thickTop="1">
      <c r="A186" s="62"/>
      <c r="B186" s="21" t="s">
        <v>141</v>
      </c>
      <c r="C186" s="14">
        <v>10.28</v>
      </c>
      <c r="D186" s="15">
        <v>41</v>
      </c>
      <c r="E186" s="14">
        <v>33.5</v>
      </c>
      <c r="F186" s="15">
        <v>56</v>
      </c>
      <c r="G186" s="16"/>
      <c r="H186" s="15">
        <v>0</v>
      </c>
      <c r="I186" s="16">
        <v>334</v>
      </c>
      <c r="J186" s="15">
        <v>32</v>
      </c>
      <c r="K186" s="17">
        <v>209.42</v>
      </c>
      <c r="L186" s="15">
        <v>57</v>
      </c>
      <c r="M186" s="18">
        <v>129</v>
      </c>
      <c r="N186" s="19">
        <v>186</v>
      </c>
    </row>
    <row r="187" spans="1:14" ht="18" thickBot="1" thickTop="1">
      <c r="A187" s="62"/>
      <c r="B187" s="21" t="s">
        <v>142</v>
      </c>
      <c r="C187" s="14">
        <v>11.05</v>
      </c>
      <c r="D187" s="15">
        <v>22</v>
      </c>
      <c r="E187" s="14">
        <v>35</v>
      </c>
      <c r="F187" s="15">
        <v>59</v>
      </c>
      <c r="G187" s="16"/>
      <c r="H187" s="15">
        <v>0</v>
      </c>
      <c r="I187" s="16">
        <v>352</v>
      </c>
      <c r="J187" s="15">
        <v>38</v>
      </c>
      <c r="K187" s="17">
        <v>223.72</v>
      </c>
      <c r="L187" s="15">
        <v>31</v>
      </c>
      <c r="M187" s="18">
        <v>119</v>
      </c>
      <c r="N187" s="19">
        <v>150</v>
      </c>
    </row>
    <row r="188" spans="1:14" ht="16.5" thickBot="1" thickTop="1">
      <c r="A188" s="63" t="s">
        <v>163</v>
      </c>
      <c r="B188" s="20" t="s">
        <v>10</v>
      </c>
      <c r="C188" s="4" t="s">
        <v>11</v>
      </c>
      <c r="D188" s="4" t="s">
        <v>12</v>
      </c>
      <c r="E188" s="7" t="s">
        <v>13</v>
      </c>
      <c r="F188" s="4" t="s">
        <v>12</v>
      </c>
      <c r="G188" s="6" t="s">
        <v>14</v>
      </c>
      <c r="H188" s="4" t="s">
        <v>12</v>
      </c>
      <c r="I188" s="6" t="s">
        <v>15</v>
      </c>
      <c r="J188" s="4" t="s">
        <v>12</v>
      </c>
      <c r="K188" s="8" t="s">
        <v>90</v>
      </c>
      <c r="L188" s="4" t="s">
        <v>12</v>
      </c>
      <c r="M188" s="5" t="s">
        <v>17</v>
      </c>
      <c r="N188" s="5" t="s">
        <v>18</v>
      </c>
    </row>
    <row r="189" spans="1:14" ht="18" thickBot="1" thickTop="1">
      <c r="A189" s="61"/>
      <c r="B189" s="21" t="s">
        <v>143</v>
      </c>
      <c r="C189" s="14">
        <v>8.56</v>
      </c>
      <c r="D189" s="15">
        <v>96</v>
      </c>
      <c r="E189" s="14">
        <v>34</v>
      </c>
      <c r="F189" s="15">
        <v>57</v>
      </c>
      <c r="G189" s="16"/>
      <c r="H189" s="15">
        <v>0</v>
      </c>
      <c r="I189" s="16">
        <v>439</v>
      </c>
      <c r="J189" s="15">
        <v>74</v>
      </c>
      <c r="K189" s="17">
        <v>154.31</v>
      </c>
      <c r="L189" s="15">
        <v>85</v>
      </c>
      <c r="M189" s="18">
        <v>227</v>
      </c>
      <c r="N189" s="19">
        <v>312</v>
      </c>
    </row>
    <row r="190" spans="1:14" ht="18" thickBot="1" thickTop="1">
      <c r="A190" s="64"/>
      <c r="B190" s="21" t="s">
        <v>144</v>
      </c>
      <c r="C190" s="14">
        <v>9.59</v>
      </c>
      <c r="D190" s="15">
        <v>59</v>
      </c>
      <c r="E190" s="14">
        <v>35.5</v>
      </c>
      <c r="F190" s="15">
        <v>61</v>
      </c>
      <c r="G190" s="16"/>
      <c r="H190" s="15">
        <v>0</v>
      </c>
      <c r="I190" s="16">
        <v>410</v>
      </c>
      <c r="J190" s="15">
        <v>59</v>
      </c>
      <c r="K190" s="17">
        <v>207</v>
      </c>
      <c r="L190" s="15">
        <v>61</v>
      </c>
      <c r="M190" s="18">
        <v>179</v>
      </c>
      <c r="N190" s="19">
        <v>240</v>
      </c>
    </row>
    <row r="191" spans="1:14" ht="18" thickBot="1" thickTop="1">
      <c r="A191" s="64" t="s">
        <v>173</v>
      </c>
      <c r="B191" s="21" t="s">
        <v>145</v>
      </c>
      <c r="C191" s="14">
        <v>9.23</v>
      </c>
      <c r="D191" s="15">
        <v>70</v>
      </c>
      <c r="E191" s="14">
        <v>40.5</v>
      </c>
      <c r="F191" s="15">
        <v>74</v>
      </c>
      <c r="G191" s="16"/>
      <c r="H191" s="15">
        <v>0</v>
      </c>
      <c r="I191" s="16">
        <v>404</v>
      </c>
      <c r="J191" s="15">
        <v>56</v>
      </c>
      <c r="K191" s="17">
        <v>206.79</v>
      </c>
      <c r="L191" s="15">
        <v>61</v>
      </c>
      <c r="M191" s="18">
        <v>200</v>
      </c>
      <c r="N191" s="19">
        <v>261</v>
      </c>
    </row>
    <row r="192" spans="1:14" ht="18" thickBot="1" thickTop="1">
      <c r="A192" s="61"/>
      <c r="B192" s="21" t="s">
        <v>146</v>
      </c>
      <c r="C192" s="14">
        <v>9.72</v>
      </c>
      <c r="D192" s="15">
        <v>55</v>
      </c>
      <c r="E192" s="14">
        <v>35.5</v>
      </c>
      <c r="F192" s="15">
        <v>61</v>
      </c>
      <c r="G192" s="16"/>
      <c r="H192" s="15">
        <v>0</v>
      </c>
      <c r="I192" s="16">
        <v>397</v>
      </c>
      <c r="J192" s="15">
        <v>53</v>
      </c>
      <c r="K192" s="17">
        <v>207.29</v>
      </c>
      <c r="L192" s="15">
        <v>60</v>
      </c>
      <c r="M192" s="18">
        <v>169</v>
      </c>
      <c r="N192" s="19">
        <v>229</v>
      </c>
    </row>
    <row r="193" spans="1:14" ht="18" thickBot="1" thickTop="1">
      <c r="A193" s="61"/>
      <c r="B193" s="21" t="s">
        <v>147</v>
      </c>
      <c r="C193" s="14">
        <v>9.67</v>
      </c>
      <c r="D193" s="15">
        <v>57</v>
      </c>
      <c r="E193" s="14">
        <v>37</v>
      </c>
      <c r="F193" s="15">
        <v>65</v>
      </c>
      <c r="G193" s="16"/>
      <c r="H193" s="15">
        <v>0</v>
      </c>
      <c r="I193" s="16">
        <v>412</v>
      </c>
      <c r="J193" s="15">
        <v>60</v>
      </c>
      <c r="K193" s="17">
        <v>208.51</v>
      </c>
      <c r="L193" s="15">
        <v>58</v>
      </c>
      <c r="M193" s="18">
        <v>182</v>
      </c>
      <c r="N193" s="19">
        <v>240</v>
      </c>
    </row>
    <row r="194" spans="1:14" ht="18" thickBot="1" thickTop="1">
      <c r="A194" s="61"/>
      <c r="B194" s="21" t="s">
        <v>148</v>
      </c>
      <c r="C194" s="14">
        <v>9.54</v>
      </c>
      <c r="D194" s="15">
        <v>60</v>
      </c>
      <c r="E194" s="14">
        <v>30</v>
      </c>
      <c r="F194" s="15">
        <v>47</v>
      </c>
      <c r="G194" s="16"/>
      <c r="H194" s="15">
        <v>0</v>
      </c>
      <c r="I194" s="16">
        <v>396</v>
      </c>
      <c r="J194" s="15">
        <v>52</v>
      </c>
      <c r="K194" s="17">
        <v>216.5</v>
      </c>
      <c r="L194" s="15">
        <v>44</v>
      </c>
      <c r="M194" s="18">
        <v>159</v>
      </c>
      <c r="N194" s="19">
        <v>203</v>
      </c>
    </row>
    <row r="195" spans="1:14" ht="16.5" thickBot="1" thickTop="1">
      <c r="A195" s="63" t="s">
        <v>164</v>
      </c>
      <c r="B195" s="20" t="s">
        <v>10</v>
      </c>
      <c r="C195" s="4" t="s">
        <v>11</v>
      </c>
      <c r="D195" s="4" t="s">
        <v>12</v>
      </c>
      <c r="E195" s="7" t="s">
        <v>13</v>
      </c>
      <c r="F195" s="4" t="s">
        <v>12</v>
      </c>
      <c r="G195" s="6" t="s">
        <v>14</v>
      </c>
      <c r="H195" s="4" t="s">
        <v>12</v>
      </c>
      <c r="I195" s="6" t="s">
        <v>15</v>
      </c>
      <c r="J195" s="4" t="s">
        <v>12</v>
      </c>
      <c r="K195" s="8" t="s">
        <v>90</v>
      </c>
      <c r="L195" s="4" t="s">
        <v>12</v>
      </c>
      <c r="M195" s="5" t="s">
        <v>17</v>
      </c>
      <c r="N195" s="5" t="s">
        <v>18</v>
      </c>
    </row>
    <row r="196" spans="1:14" ht="18" thickBot="1" thickTop="1">
      <c r="A196" s="62"/>
      <c r="B196" s="21" t="s">
        <v>149</v>
      </c>
      <c r="C196" s="14">
        <v>10.67</v>
      </c>
      <c r="D196" s="15">
        <v>32</v>
      </c>
      <c r="E196" s="14">
        <v>23.5</v>
      </c>
      <c r="F196" s="15">
        <v>31</v>
      </c>
      <c r="G196" s="16"/>
      <c r="H196" s="15">
        <v>0</v>
      </c>
      <c r="I196" s="16">
        <v>341</v>
      </c>
      <c r="J196" s="15">
        <v>34</v>
      </c>
      <c r="K196" s="17">
        <v>216.01</v>
      </c>
      <c r="L196" s="15">
        <v>45</v>
      </c>
      <c r="M196" s="18">
        <v>97</v>
      </c>
      <c r="N196" s="19">
        <v>142</v>
      </c>
    </row>
    <row r="197" spans="1:14" ht="18" thickBot="1" thickTop="1">
      <c r="A197" s="64"/>
      <c r="B197" s="21" t="s">
        <v>150</v>
      </c>
      <c r="C197" s="14">
        <v>9.91</v>
      </c>
      <c r="D197" s="15">
        <v>50</v>
      </c>
      <c r="E197" s="14">
        <v>25</v>
      </c>
      <c r="F197" s="15">
        <v>34</v>
      </c>
      <c r="G197" s="16"/>
      <c r="H197" s="15">
        <v>0</v>
      </c>
      <c r="I197" s="16">
        <v>372</v>
      </c>
      <c r="J197" s="15">
        <v>44</v>
      </c>
      <c r="K197" s="17">
        <v>206.58</v>
      </c>
      <c r="L197" s="15">
        <v>62</v>
      </c>
      <c r="M197" s="18">
        <v>128</v>
      </c>
      <c r="N197" s="19">
        <v>190</v>
      </c>
    </row>
    <row r="198" spans="1:14" ht="18" thickBot="1" thickTop="1">
      <c r="A198" s="64" t="s">
        <v>174</v>
      </c>
      <c r="B198" s="21" t="s">
        <v>151</v>
      </c>
      <c r="C198" s="14">
        <v>10.32</v>
      </c>
      <c r="D198" s="15">
        <v>40</v>
      </c>
      <c r="E198" s="14">
        <v>26</v>
      </c>
      <c r="F198" s="15">
        <v>36</v>
      </c>
      <c r="G198" s="16"/>
      <c r="H198" s="15">
        <v>0</v>
      </c>
      <c r="I198" s="16">
        <v>351</v>
      </c>
      <c r="J198" s="15">
        <v>37</v>
      </c>
      <c r="K198" s="17">
        <v>215.37</v>
      </c>
      <c r="L198" s="15">
        <v>46</v>
      </c>
      <c r="M198" s="18">
        <v>113</v>
      </c>
      <c r="N198" s="19">
        <v>159</v>
      </c>
    </row>
    <row r="199" spans="1:14" ht="18" thickBot="1" thickTop="1">
      <c r="A199" s="55"/>
      <c r="B199" s="21" t="s">
        <v>152</v>
      </c>
      <c r="C199" s="14">
        <v>10.09</v>
      </c>
      <c r="D199" s="15">
        <v>46</v>
      </c>
      <c r="E199" s="14">
        <v>24</v>
      </c>
      <c r="F199" s="15">
        <v>32</v>
      </c>
      <c r="G199" s="16"/>
      <c r="H199" s="15">
        <v>0</v>
      </c>
      <c r="I199" s="16">
        <v>340</v>
      </c>
      <c r="J199" s="15">
        <v>34</v>
      </c>
      <c r="K199" s="17">
        <v>220.03</v>
      </c>
      <c r="L199" s="15">
        <v>37</v>
      </c>
      <c r="M199" s="18">
        <v>112</v>
      </c>
      <c r="N199" s="19">
        <v>149</v>
      </c>
    </row>
    <row r="200" spans="1:14" ht="18" thickBot="1" thickTop="1">
      <c r="A200" s="55"/>
      <c r="B200" s="21" t="s">
        <v>153</v>
      </c>
      <c r="C200" s="14">
        <v>10.34</v>
      </c>
      <c r="D200" s="15">
        <v>40</v>
      </c>
      <c r="E200" s="14">
        <v>14.5</v>
      </c>
      <c r="F200" s="15">
        <v>13</v>
      </c>
      <c r="G200" s="16"/>
      <c r="H200" s="15">
        <v>0</v>
      </c>
      <c r="I200" s="16">
        <v>340</v>
      </c>
      <c r="J200" s="15">
        <v>34</v>
      </c>
      <c r="K200" s="17">
        <v>238.15</v>
      </c>
      <c r="L200" s="15">
        <v>9</v>
      </c>
      <c r="M200" s="18">
        <v>87</v>
      </c>
      <c r="N200" s="19">
        <v>96</v>
      </c>
    </row>
    <row r="201" spans="1:14" ht="18" thickBot="1" thickTop="1">
      <c r="A201" s="55"/>
      <c r="B201" s="21" t="s">
        <v>154</v>
      </c>
      <c r="C201" s="14">
        <v>10.67</v>
      </c>
      <c r="D201" s="15">
        <v>32</v>
      </c>
      <c r="E201" s="14">
        <v>14.5</v>
      </c>
      <c r="F201" s="15">
        <v>13</v>
      </c>
      <c r="G201" s="16"/>
      <c r="H201" s="15">
        <v>0</v>
      </c>
      <c r="I201" s="16">
        <v>308</v>
      </c>
      <c r="J201" s="15">
        <v>23</v>
      </c>
      <c r="K201" s="17">
        <v>218.89</v>
      </c>
      <c r="L201" s="15">
        <v>39</v>
      </c>
      <c r="M201" s="18">
        <v>68</v>
      </c>
      <c r="N201" s="19">
        <v>107</v>
      </c>
    </row>
    <row r="202" spans="1:14" ht="16.5" thickBot="1" thickTop="1">
      <c r="A202" s="48">
        <f>'[1]szkoły'!C133</f>
        <v>0</v>
      </c>
      <c r="B202" s="49" t="s">
        <v>83</v>
      </c>
      <c r="C202" s="50"/>
      <c r="D202" s="50"/>
      <c r="E202" s="52"/>
      <c r="F202" s="50"/>
      <c r="G202" s="51"/>
      <c r="H202" s="50"/>
      <c r="I202" s="51"/>
      <c r="J202" s="50"/>
      <c r="K202" s="53"/>
      <c r="L202" s="50"/>
      <c r="M202" s="54"/>
      <c r="N202" s="54"/>
    </row>
    <row r="203" spans="2:6" ht="19.5" thickBot="1" thickTop="1">
      <c r="B203" s="56" t="s">
        <v>91</v>
      </c>
      <c r="C203" s="57" t="s">
        <v>92</v>
      </c>
      <c r="D203" s="56" t="s">
        <v>93</v>
      </c>
      <c r="E203" s="58" t="s">
        <v>94</v>
      </c>
      <c r="F203" s="56" t="s">
        <v>95</v>
      </c>
    </row>
    <row r="204" spans="2:6" ht="17.25" thickBot="1" thickTop="1">
      <c r="B204" s="36" t="str">
        <f aca="true" t="shared" si="3" ref="B204:B235">INDEX($B$13:$E$2410,D204,1)</f>
        <v>PODRAZA ALEKSANDRA</v>
      </c>
      <c r="C204" s="37">
        <f>LARGE($E$13:$E$241,1)</f>
        <v>312.00049</v>
      </c>
      <c r="D204" s="60">
        <f aca="true" t="shared" si="4" ref="D204:D235">MATCH(C204,$E$13:$E$241,0)</f>
        <v>49</v>
      </c>
      <c r="E204" s="36" t="str">
        <f aca="true" t="shared" si="5" ref="E204:E235">INDEX($E$13:$F$241,D204,2)</f>
        <v>9.SP 33 KIELCE</v>
      </c>
      <c r="F204" s="40">
        <v>1</v>
      </c>
    </row>
    <row r="205" spans="2:6" ht="17.25" thickBot="1" thickTop="1">
      <c r="B205" s="36" t="str">
        <f t="shared" si="3"/>
        <v>PIĘTA ZUZANNA</v>
      </c>
      <c r="C205" s="37">
        <f>LARGE($E$13:$E$241,2)</f>
        <v>261.00051</v>
      </c>
      <c r="D205" s="60">
        <f t="shared" si="4"/>
        <v>51</v>
      </c>
      <c r="E205" s="36" t="str">
        <f t="shared" si="5"/>
        <v>9.SP 33 KIELCE</v>
      </c>
      <c r="F205" s="40">
        <v>2</v>
      </c>
    </row>
    <row r="206" spans="2:6" ht="17.25" thickBot="1" thickTop="1">
      <c r="B206" s="36" t="str">
        <f t="shared" si="3"/>
        <v>DULIŃSKA NATALIA</v>
      </c>
      <c r="C206" s="37">
        <f>LARGE($E$13:$E$241,3)</f>
        <v>254.00002</v>
      </c>
      <c r="D206" s="60">
        <f t="shared" si="4"/>
        <v>2</v>
      </c>
      <c r="E206" s="36" t="str">
        <f t="shared" si="5"/>
        <v>1. SP CZAJKÓW</v>
      </c>
      <c r="F206" s="40">
        <v>3</v>
      </c>
    </row>
    <row r="207" spans="2:6" ht="17.25" thickBot="1" thickTop="1">
      <c r="B207" s="36" t="str">
        <f t="shared" si="3"/>
        <v>BATOR ALICJA</v>
      </c>
      <c r="C207" s="37">
        <f>LARGE($E$13:$E$241,4)</f>
        <v>243.00008</v>
      </c>
      <c r="D207" s="60">
        <f t="shared" si="4"/>
        <v>8</v>
      </c>
      <c r="E207" s="36" t="str">
        <f t="shared" si="5"/>
        <v>2.SP PSP OLEŚNICA</v>
      </c>
      <c r="F207" s="40">
        <v>4</v>
      </c>
    </row>
    <row r="208" spans="2:6" ht="17.25" thickBot="1" thickTop="1">
      <c r="B208" s="36" t="str">
        <f t="shared" si="3"/>
        <v>PODSIADŁO NIKOLA</v>
      </c>
      <c r="C208" s="37">
        <f>LARGE($E$13:$E$241,5)</f>
        <v>243.00001</v>
      </c>
      <c r="D208" s="60">
        <f t="shared" si="4"/>
        <v>1</v>
      </c>
      <c r="E208" s="36" t="str">
        <f t="shared" si="5"/>
        <v>1. SP CZAJKÓW</v>
      </c>
      <c r="F208" s="40">
        <v>5</v>
      </c>
    </row>
    <row r="209" spans="2:6" ht="17.25" thickBot="1" thickTop="1">
      <c r="B209" s="36" t="str">
        <f t="shared" si="3"/>
        <v>ROGALIŃSKA MARIA</v>
      </c>
      <c r="C209" s="37">
        <f>LARGE($E$13:$E$241,6)</f>
        <v>240.00053</v>
      </c>
      <c r="D209" s="60">
        <f t="shared" si="4"/>
        <v>53</v>
      </c>
      <c r="E209" s="36" t="str">
        <f t="shared" si="5"/>
        <v>9.SP 33 KIELCE</v>
      </c>
      <c r="F209" s="40">
        <v>6</v>
      </c>
    </row>
    <row r="210" spans="2:6" ht="17.25" thickBot="1" thickTop="1">
      <c r="B210" s="36" t="str">
        <f t="shared" si="3"/>
        <v>JEKIEŁEK MARTYNA</v>
      </c>
      <c r="C210" s="37">
        <f>LARGE($E$13:$E$241,7)</f>
        <v>240.0005</v>
      </c>
      <c r="D210" s="59">
        <f t="shared" si="4"/>
        <v>50</v>
      </c>
      <c r="E210" s="39" t="str">
        <f t="shared" si="5"/>
        <v>9.SP 33 KIELCE</v>
      </c>
      <c r="F210" s="40">
        <v>7</v>
      </c>
    </row>
    <row r="211" spans="2:6" ht="17.25" thickBot="1" thickTop="1">
      <c r="B211" s="36" t="str">
        <f t="shared" si="3"/>
        <v>MAJ MILENA</v>
      </c>
      <c r="C211" s="37">
        <f>LARGE($E$13:$E$241,8)</f>
        <v>230.00043</v>
      </c>
      <c r="D211" s="59">
        <f t="shared" si="4"/>
        <v>43</v>
      </c>
      <c r="E211" s="39" t="str">
        <f t="shared" si="5"/>
        <v>8. PSP 2 STASZÓW</v>
      </c>
      <c r="F211" s="40">
        <v>8</v>
      </c>
    </row>
    <row r="212" spans="2:6" ht="17.25" thickBot="1" thickTop="1">
      <c r="B212" s="36" t="str">
        <f t="shared" si="3"/>
        <v>WOCH NIKOLA</v>
      </c>
      <c r="C212" s="37">
        <f>LARGE($E$13:$E$241,9)</f>
        <v>230.00007</v>
      </c>
      <c r="D212" s="59">
        <f t="shared" si="4"/>
        <v>7</v>
      </c>
      <c r="E212" s="39" t="str">
        <f t="shared" si="5"/>
        <v>2.SP PSP OLEŚNICA</v>
      </c>
      <c r="F212" s="40">
        <v>9</v>
      </c>
    </row>
    <row r="213" spans="2:6" ht="17.25" thickBot="1" thickTop="1">
      <c r="B213" s="36" t="str">
        <f t="shared" si="3"/>
        <v>ZAJĄC MAJA</v>
      </c>
      <c r="C213" s="37">
        <f>LARGE($E$13:$E$241,10)</f>
        <v>229.00052</v>
      </c>
      <c r="D213" s="59">
        <f t="shared" si="4"/>
        <v>52</v>
      </c>
      <c r="E213" s="39" t="str">
        <f t="shared" si="5"/>
        <v>9.SP 33 KIELCE</v>
      </c>
      <c r="F213" s="40">
        <v>10</v>
      </c>
    </row>
    <row r="214" spans="2:6" ht="17.25" thickBot="1" thickTop="1">
      <c r="B214" s="36" t="str">
        <f t="shared" si="3"/>
        <v>PĘDZIK GABRIELA</v>
      </c>
      <c r="C214" s="37">
        <f>LARGE($E$13:$E$241,11)</f>
        <v>228.00037</v>
      </c>
      <c r="D214" s="59">
        <f t="shared" si="4"/>
        <v>37</v>
      </c>
      <c r="E214" s="39" t="str">
        <f t="shared" si="5"/>
        <v>7. SP TUMLIN</v>
      </c>
      <c r="F214" s="40">
        <v>11</v>
      </c>
    </row>
    <row r="215" spans="2:6" ht="17.25" thickBot="1" thickTop="1">
      <c r="B215" s="36" t="str">
        <f t="shared" si="3"/>
        <v>BAŁCHANOWSKA NELA</v>
      </c>
      <c r="C215" s="37">
        <f>LARGE($E$13:$E$241,12)</f>
        <v>222.0004</v>
      </c>
      <c r="D215" s="59">
        <f t="shared" si="4"/>
        <v>40</v>
      </c>
      <c r="E215" s="39" t="str">
        <f t="shared" si="5"/>
        <v>7. SP TUMLIN</v>
      </c>
      <c r="F215" s="40">
        <v>12</v>
      </c>
    </row>
    <row r="216" spans="2:6" ht="17.25" thickBot="1" thickTop="1">
      <c r="B216" s="36" t="str">
        <f t="shared" si="3"/>
        <v>PRZYTUŁA MAJA</v>
      </c>
      <c r="C216" s="37">
        <f>LARGE($E$13:$E$241,13)</f>
        <v>219.00044</v>
      </c>
      <c r="D216" s="59">
        <f t="shared" si="4"/>
        <v>44</v>
      </c>
      <c r="E216" s="39" t="str">
        <f t="shared" si="5"/>
        <v>8. PSP 2 STASZÓW</v>
      </c>
      <c r="F216" s="40">
        <v>13</v>
      </c>
    </row>
    <row r="217" spans="2:6" ht="17.25" thickBot="1" thickTop="1">
      <c r="B217" s="36" t="str">
        <f t="shared" si="3"/>
        <v>WIELIŃSKA LENA</v>
      </c>
      <c r="C217" s="37">
        <f>LARGE($E$13:$E$241,14)</f>
        <v>216.00039</v>
      </c>
      <c r="D217" s="59">
        <f t="shared" si="4"/>
        <v>39</v>
      </c>
      <c r="E217" s="39" t="str">
        <f t="shared" si="5"/>
        <v>7. SP TUMLIN</v>
      </c>
      <c r="F217" s="40">
        <v>14</v>
      </c>
    </row>
    <row r="218" spans="2:6" ht="17.25" thickBot="1" thickTop="1">
      <c r="B218" s="36" t="str">
        <f t="shared" si="3"/>
        <v>SKIBA NATALIA</v>
      </c>
      <c r="C218" s="37">
        <f>LARGE($E$13:$E$241,15)</f>
        <v>212.00012</v>
      </c>
      <c r="D218" s="59">
        <f t="shared" si="4"/>
        <v>12</v>
      </c>
      <c r="E218" s="39" t="str">
        <f t="shared" si="5"/>
        <v>2.SP PSP OLEŚNICA</v>
      </c>
      <c r="F218" s="40">
        <v>15</v>
      </c>
    </row>
    <row r="219" spans="2:6" ht="17.25" thickBot="1" thickTop="1">
      <c r="B219" s="36" t="str">
        <f t="shared" si="3"/>
        <v>AGLIANO VIKRORIA</v>
      </c>
      <c r="C219" s="37">
        <f>LARGE($E$13:$E$241,16)</f>
        <v>211.00019</v>
      </c>
      <c r="D219" s="59">
        <f t="shared" si="4"/>
        <v>19</v>
      </c>
      <c r="E219" s="39" t="str">
        <f t="shared" si="5"/>
        <v>4. PSP 1 STASZÓW</v>
      </c>
      <c r="F219" s="40">
        <v>16</v>
      </c>
    </row>
    <row r="220" spans="2:6" ht="17.25" thickBot="1" thickTop="1">
      <c r="B220" s="36" t="str">
        <f t="shared" si="3"/>
        <v>GŁOWACKA MARIKA</v>
      </c>
      <c r="C220" s="37">
        <f>LARGE($E$13:$E$241,17)</f>
        <v>210.00009</v>
      </c>
      <c r="D220" s="59">
        <f t="shared" si="4"/>
        <v>9</v>
      </c>
      <c r="E220" s="39" t="str">
        <f t="shared" si="5"/>
        <v>2.SP PSP OLEŚNICA</v>
      </c>
      <c r="F220" s="40">
        <v>17</v>
      </c>
    </row>
    <row r="221" spans="2:6" ht="17.25" thickBot="1" thickTop="1">
      <c r="B221" s="36" t="str">
        <f t="shared" si="3"/>
        <v>SADLIŃSKA ŁUCJA</v>
      </c>
      <c r="C221" s="37">
        <f>LARGE($E$13:$E$241,18)</f>
        <v>205.00016</v>
      </c>
      <c r="D221" s="59">
        <f t="shared" si="4"/>
        <v>16</v>
      </c>
      <c r="E221" s="39" t="str">
        <f t="shared" si="5"/>
        <v>3. PSP 2 STĄPORKÓW</v>
      </c>
      <c r="F221" s="40">
        <v>18</v>
      </c>
    </row>
    <row r="222" spans="2:6" ht="17.25" thickBot="1" thickTop="1">
      <c r="B222" s="36" t="str">
        <f t="shared" si="3"/>
        <v>IWAŃSKA WERONIKA </v>
      </c>
      <c r="C222" s="37">
        <f>LARGE($E$13:$E$241,19)</f>
        <v>204.00042</v>
      </c>
      <c r="D222" s="59">
        <f t="shared" si="4"/>
        <v>42</v>
      </c>
      <c r="E222" s="39" t="str">
        <f t="shared" si="5"/>
        <v>7. SP TUMLIN</v>
      </c>
      <c r="F222" s="40">
        <v>19</v>
      </c>
    </row>
    <row r="223" spans="2:6" ht="17.25" thickBot="1" thickTop="1">
      <c r="B223" s="36" t="str">
        <f t="shared" si="3"/>
        <v>SKAŁABANIA AMELIA</v>
      </c>
      <c r="C223" s="37">
        <f>LARGE($E$13:$E$241,20)</f>
        <v>204.00023</v>
      </c>
      <c r="D223" s="59">
        <f t="shared" si="4"/>
        <v>23</v>
      </c>
      <c r="E223" s="39" t="str">
        <f t="shared" si="5"/>
        <v>4. PSP 1 STASZÓW</v>
      </c>
      <c r="F223" s="40">
        <v>20</v>
      </c>
    </row>
    <row r="224" spans="2:6" ht="17.25" thickBot="1" thickTop="1">
      <c r="B224" s="36" t="str">
        <f t="shared" si="3"/>
        <v>KWASEK SANDRA</v>
      </c>
      <c r="C224" s="37">
        <f>LARGE($E$13:$E$241,21)</f>
        <v>204.00006</v>
      </c>
      <c r="D224" s="59">
        <f t="shared" si="4"/>
        <v>6</v>
      </c>
      <c r="E224" s="39" t="str">
        <f t="shared" si="5"/>
        <v>1. SP CZAJKÓW</v>
      </c>
      <c r="F224" s="40">
        <v>21</v>
      </c>
    </row>
    <row r="225" spans="2:6" ht="17.25" thickBot="1" thickTop="1">
      <c r="B225" s="36" t="str">
        <f t="shared" si="3"/>
        <v>BUJANOWSKA JULIA</v>
      </c>
      <c r="C225" s="37">
        <f>LARGE($E$13:$E$241,22)</f>
        <v>203.00054</v>
      </c>
      <c r="D225" s="59">
        <f t="shared" si="4"/>
        <v>54</v>
      </c>
      <c r="E225" s="39" t="str">
        <f t="shared" si="5"/>
        <v>9.SP 33 KIELCE</v>
      </c>
      <c r="F225" s="40">
        <v>22</v>
      </c>
    </row>
    <row r="226" spans="2:6" ht="17.25" thickBot="1" thickTop="1">
      <c r="B226" s="36" t="str">
        <f t="shared" si="3"/>
        <v>ZIELIŃSKA MILENA</v>
      </c>
      <c r="C226" s="37">
        <f>LARGE($E$13:$E$241,23)</f>
        <v>202.00045</v>
      </c>
      <c r="D226" s="59">
        <f t="shared" si="4"/>
        <v>45</v>
      </c>
      <c r="E226" s="39" t="str">
        <f t="shared" si="5"/>
        <v>8. PSP 2 STASZÓW</v>
      </c>
      <c r="F226" s="40">
        <v>23</v>
      </c>
    </row>
    <row r="227" spans="2:6" ht="17.25" thickBot="1" thickTop="1">
      <c r="B227" s="36" t="str">
        <f t="shared" si="3"/>
        <v>POLAKOWSKA MAŁGORZATA</v>
      </c>
      <c r="C227" s="37">
        <f>LARGE($E$13:$E$241,24)</f>
        <v>193.00015</v>
      </c>
      <c r="D227" s="59">
        <f t="shared" si="4"/>
        <v>15</v>
      </c>
      <c r="E227" s="39" t="str">
        <f t="shared" si="5"/>
        <v>3. PSP 2 STĄPORKÓW</v>
      </c>
      <c r="F227" s="40">
        <v>24</v>
      </c>
    </row>
    <row r="228" spans="2:6" ht="17.25" thickBot="1" thickTop="1">
      <c r="B228" s="36" t="str">
        <f t="shared" si="3"/>
        <v>ŁYCZEK ZUZANNA</v>
      </c>
      <c r="C228" s="37">
        <f>LARGE($E$13:$E$241,25)</f>
        <v>192.00028</v>
      </c>
      <c r="D228" s="59">
        <f t="shared" si="4"/>
        <v>28</v>
      </c>
      <c r="E228" s="39" t="str">
        <f t="shared" si="5"/>
        <v>5. SP NOWINY</v>
      </c>
      <c r="F228" s="40">
        <v>25</v>
      </c>
    </row>
    <row r="229" spans="2:6" ht="17.25" thickBot="1" thickTop="1">
      <c r="B229" s="36" t="str">
        <f t="shared" si="3"/>
        <v>PLEWA DOMINIKA</v>
      </c>
      <c r="C229" s="37">
        <f>LARGE($E$13:$E$241,26)</f>
        <v>192.0001</v>
      </c>
      <c r="D229" s="59">
        <f t="shared" si="4"/>
        <v>10</v>
      </c>
      <c r="E229" s="39" t="str">
        <f t="shared" si="5"/>
        <v>2.SP PSP OLEŚNICA</v>
      </c>
      <c r="F229" s="40">
        <v>26</v>
      </c>
    </row>
    <row r="230" spans="2:6" ht="17.25" thickBot="1" thickTop="1">
      <c r="B230" s="36" t="str">
        <f t="shared" si="3"/>
        <v>TWOREK PATRYCJA</v>
      </c>
      <c r="C230" s="37">
        <f>LARGE($E$13:$E$241,27)</f>
        <v>192.00004</v>
      </c>
      <c r="D230" s="59">
        <f t="shared" si="4"/>
        <v>4</v>
      </c>
      <c r="E230" s="39" t="str">
        <f t="shared" si="5"/>
        <v>1. SP CZAJKÓW</v>
      </c>
      <c r="F230" s="40">
        <v>27</v>
      </c>
    </row>
    <row r="231" spans="2:6" ht="17.25" thickBot="1" thickTop="1">
      <c r="B231" s="36" t="str">
        <f t="shared" si="3"/>
        <v>KOTLARZ MAJA OL</v>
      </c>
      <c r="C231" s="37">
        <f>LARGE($E$13:$E$241,28)</f>
        <v>190.00056</v>
      </c>
      <c r="D231" s="59">
        <f t="shared" si="4"/>
        <v>56</v>
      </c>
      <c r="E231" s="39" t="str">
        <f t="shared" si="5"/>
        <v>10. PK</v>
      </c>
      <c r="F231" s="40">
        <v>28</v>
      </c>
    </row>
    <row r="232" spans="2:6" ht="17.25" thickBot="1" thickTop="1">
      <c r="B232" s="36" t="str">
        <f t="shared" si="3"/>
        <v>BARTOCHA ZOFIA</v>
      </c>
      <c r="C232" s="37">
        <f>LARGE($E$13:$E$241,29)</f>
        <v>188.00027</v>
      </c>
      <c r="D232" s="59">
        <f t="shared" si="4"/>
        <v>27</v>
      </c>
      <c r="E232" s="39" t="str">
        <f t="shared" si="5"/>
        <v>5. SP NOWINY</v>
      </c>
      <c r="F232" s="40">
        <v>29</v>
      </c>
    </row>
    <row r="233" spans="2:6" ht="17.25" thickBot="1" thickTop="1">
      <c r="B233" s="36" t="str">
        <f t="shared" si="3"/>
        <v>BACZEWSKA OLIWIA</v>
      </c>
      <c r="C233" s="37">
        <f>LARGE($E$13:$E$241,30)</f>
        <v>186.00047</v>
      </c>
      <c r="D233" s="59">
        <f t="shared" si="4"/>
        <v>47</v>
      </c>
      <c r="E233" s="39" t="str">
        <f t="shared" si="5"/>
        <v>8. PSP 2 STASZÓW</v>
      </c>
      <c r="F233" s="40">
        <v>30</v>
      </c>
    </row>
    <row r="234" spans="2:6" ht="17.25" thickBot="1" thickTop="1">
      <c r="B234" s="36" t="str">
        <f t="shared" si="3"/>
        <v>ŁUKASIK MARIA</v>
      </c>
      <c r="C234" s="37">
        <f>LARGE($E$13:$E$241,31)</f>
        <v>186.00046</v>
      </c>
      <c r="D234" s="59">
        <f t="shared" si="4"/>
        <v>46</v>
      </c>
      <c r="E234" s="39" t="str">
        <f t="shared" si="5"/>
        <v>8. PSP 2 STASZÓW</v>
      </c>
      <c r="F234" s="40">
        <v>31</v>
      </c>
    </row>
    <row r="235" spans="2:6" ht="17.25" thickBot="1" thickTop="1">
      <c r="B235" s="36" t="str">
        <f t="shared" si="3"/>
        <v>DYWAN AMELIA</v>
      </c>
      <c r="C235" s="37">
        <f>LARGE($E$13:$E$241,32)</f>
        <v>184.00005</v>
      </c>
      <c r="D235" s="59">
        <f t="shared" si="4"/>
        <v>5</v>
      </c>
      <c r="E235" s="39" t="str">
        <f t="shared" si="5"/>
        <v>1. SP CZAJKÓW</v>
      </c>
      <c r="F235" s="40">
        <v>32</v>
      </c>
    </row>
    <row r="236" spans="2:6" ht="17.25" thickBot="1" thickTop="1">
      <c r="B236" s="36" t="str">
        <f aca="true" t="shared" si="6" ref="B236:B261">INDEX($B$13:$E$2410,D236,1)</f>
        <v>MYŚLIWIEC MAJA</v>
      </c>
      <c r="C236" s="37">
        <f>LARGE($E$13:$E$241,33)</f>
        <v>182.00011</v>
      </c>
      <c r="D236" s="59">
        <f aca="true" t="shared" si="7" ref="D236:D261">MATCH(C236,$E$13:$E$241,0)</f>
        <v>11</v>
      </c>
      <c r="E236" s="39" t="str">
        <f aca="true" t="shared" si="8" ref="E236:E261">INDEX($E$13:$F$241,D236,2)</f>
        <v>2.SP PSP OLEŚNICA</v>
      </c>
      <c r="F236" s="40">
        <v>33</v>
      </c>
    </row>
    <row r="237" spans="2:6" ht="17.25" thickBot="1" thickTop="1">
      <c r="B237" s="36" t="str">
        <f t="shared" si="6"/>
        <v>WRÓBEL WIKTORIA</v>
      </c>
      <c r="C237" s="37">
        <f>LARGE($E$13:$E$241,34)</f>
        <v>181.00003</v>
      </c>
      <c r="D237" s="59">
        <f t="shared" si="7"/>
        <v>3</v>
      </c>
      <c r="E237" s="39" t="str">
        <f t="shared" si="8"/>
        <v>1. SP CZAJKÓW</v>
      </c>
      <c r="F237" s="40">
        <v>34</v>
      </c>
    </row>
    <row r="238" spans="2:6" ht="17.25" thickBot="1" thickTop="1">
      <c r="B238" s="36" t="str">
        <f t="shared" si="6"/>
        <v>KULIK MARIA</v>
      </c>
      <c r="C238" s="37">
        <f>LARGE($E$13:$E$241,35)</f>
        <v>179.00032</v>
      </c>
      <c r="D238" s="59">
        <f t="shared" si="7"/>
        <v>32</v>
      </c>
      <c r="E238" s="39" t="str">
        <f t="shared" si="8"/>
        <v>6.PSP CHYBICE</v>
      </c>
      <c r="F238" s="40">
        <v>35</v>
      </c>
    </row>
    <row r="239" spans="2:6" ht="17.25" thickBot="1" thickTop="1">
      <c r="B239" s="36" t="str">
        <f t="shared" si="6"/>
        <v>WRÓBLEWSKA KAROLINA</v>
      </c>
      <c r="C239" s="37">
        <f>LARGE($E$13:$E$241,36)</f>
        <v>176.00035</v>
      </c>
      <c r="D239" s="59">
        <f t="shared" si="7"/>
        <v>35</v>
      </c>
      <c r="E239" s="39" t="str">
        <f t="shared" si="8"/>
        <v>6.PSP CHYBICE</v>
      </c>
      <c r="F239" s="40">
        <v>36</v>
      </c>
    </row>
    <row r="240" spans="2:6" ht="17.25" thickBot="1" thickTop="1">
      <c r="B240" s="36" t="str">
        <f t="shared" si="6"/>
        <v>ORZEŁ ALEKSANDRA</v>
      </c>
      <c r="C240" s="37">
        <f>LARGE($E$13:$E$241,37)</f>
        <v>176.00034</v>
      </c>
      <c r="D240" s="59">
        <f t="shared" si="7"/>
        <v>34</v>
      </c>
      <c r="E240" s="39" t="str">
        <f t="shared" si="8"/>
        <v>6.PSP CHYBICE</v>
      </c>
      <c r="F240" s="40">
        <v>37</v>
      </c>
    </row>
    <row r="241" spans="2:6" ht="17.25" thickBot="1" thickTop="1">
      <c r="B241" s="36" t="str">
        <f t="shared" si="6"/>
        <v>SKLARZ MAGDALENA</v>
      </c>
      <c r="C241" s="37">
        <f>LARGE($E$13:$E$241,38)</f>
        <v>166.00025</v>
      </c>
      <c r="D241" s="59">
        <f t="shared" si="7"/>
        <v>25</v>
      </c>
      <c r="E241" s="39" t="str">
        <f t="shared" si="8"/>
        <v>5. SP NOWINY</v>
      </c>
      <c r="F241" s="40">
        <v>38</v>
      </c>
    </row>
    <row r="242" spans="2:6" ht="17.25" thickBot="1" thickTop="1">
      <c r="B242" s="36" t="str">
        <f t="shared" si="6"/>
        <v>WOŻNIAK LILDIA</v>
      </c>
      <c r="C242" s="37">
        <f>LARGE($E$13:$E$241,39)</f>
        <v>164.00038</v>
      </c>
      <c r="D242" s="59">
        <f t="shared" si="7"/>
        <v>38</v>
      </c>
      <c r="E242" s="39" t="str">
        <f t="shared" si="8"/>
        <v>7. SP TUMLIN</v>
      </c>
      <c r="F242" s="40">
        <v>39</v>
      </c>
    </row>
    <row r="243" spans="2:6" ht="17.25" thickBot="1" thickTop="1">
      <c r="B243" s="36" t="str">
        <f t="shared" si="6"/>
        <v>KUBECKA ALEKSANDRA</v>
      </c>
      <c r="C243" s="37">
        <f>LARGE($E$13:$E$241,40)</f>
        <v>161.00026</v>
      </c>
      <c r="D243" s="59">
        <f t="shared" si="7"/>
        <v>26</v>
      </c>
      <c r="E243" s="39" t="str">
        <f t="shared" si="8"/>
        <v>5. SP NOWINY</v>
      </c>
      <c r="F243" s="40">
        <v>40</v>
      </c>
    </row>
    <row r="244" spans="2:6" ht="17.25" thickBot="1" thickTop="1">
      <c r="B244" s="36" t="str">
        <f t="shared" si="6"/>
        <v>BROCKA ALEKSANDRA 2</v>
      </c>
      <c r="C244" s="37">
        <f>LARGE($E$13:$E$241,41)</f>
        <v>159.00057</v>
      </c>
      <c r="D244" s="59">
        <f t="shared" si="7"/>
        <v>57</v>
      </c>
      <c r="E244" s="39" t="str">
        <f t="shared" si="8"/>
        <v>10. PK</v>
      </c>
      <c r="F244" s="40">
        <v>41</v>
      </c>
    </row>
    <row r="245" spans="2:6" ht="17.25" thickBot="1" thickTop="1">
      <c r="B245" s="36" t="str">
        <f t="shared" si="6"/>
        <v>MILLER HANNA</v>
      </c>
      <c r="C245" s="37">
        <f>LARGE($E$13:$E$241,42)</f>
        <v>153.00018</v>
      </c>
      <c r="D245" s="59">
        <f t="shared" si="7"/>
        <v>18</v>
      </c>
      <c r="E245" s="39" t="str">
        <f t="shared" si="8"/>
        <v>3. PSP 2 STĄPORKÓW</v>
      </c>
      <c r="F245" s="40">
        <v>42</v>
      </c>
    </row>
    <row r="246" spans="2:6" ht="17.25" thickBot="1" thickTop="1">
      <c r="B246" s="36" t="str">
        <f t="shared" si="6"/>
        <v>SZTUK MAJA</v>
      </c>
      <c r="C246" s="37">
        <f>LARGE($E$13:$E$241,43)</f>
        <v>150.00048</v>
      </c>
      <c r="D246" s="59">
        <f t="shared" si="7"/>
        <v>48</v>
      </c>
      <c r="E246" s="39" t="str">
        <f t="shared" si="8"/>
        <v>8. PSP 2 STASZÓW</v>
      </c>
      <c r="F246" s="40">
        <v>43</v>
      </c>
    </row>
    <row r="247" spans="2:6" ht="17.25" thickBot="1" thickTop="1">
      <c r="B247" s="36" t="str">
        <f t="shared" si="6"/>
        <v>BOREK NATALIA 2 ST</v>
      </c>
      <c r="C247" s="37">
        <f>LARGE($E$13:$E$241,44)</f>
        <v>149.00058</v>
      </c>
      <c r="D247" s="59">
        <f t="shared" si="7"/>
        <v>58</v>
      </c>
      <c r="E247" s="39" t="str">
        <f t="shared" si="8"/>
        <v>10. PK</v>
      </c>
      <c r="F247" s="40">
        <v>44</v>
      </c>
    </row>
    <row r="248" spans="2:6" ht="17.25" thickBot="1" thickTop="1">
      <c r="B248" s="36" t="str">
        <f t="shared" si="6"/>
        <v>GADOWSKA MAŁG.</v>
      </c>
      <c r="C248" s="37">
        <f>LARGE($E$13:$E$241,45)</f>
        <v>143.00031</v>
      </c>
      <c r="D248" s="59">
        <f t="shared" si="7"/>
        <v>31</v>
      </c>
      <c r="E248" s="39" t="str">
        <f t="shared" si="8"/>
        <v>6.PSP CHYBICE</v>
      </c>
      <c r="F248" s="40">
        <v>45</v>
      </c>
    </row>
    <row r="249" spans="2:6" ht="17.25" thickBot="1" thickTop="1">
      <c r="B249" s="36" t="str">
        <f t="shared" si="6"/>
        <v>SOWIŃSKA MAJA OLEŚ</v>
      </c>
      <c r="C249" s="37">
        <f>LARGE($E$13:$E$241,46)</f>
        <v>142.00055</v>
      </c>
      <c r="D249" s="59">
        <f t="shared" si="7"/>
        <v>55</v>
      </c>
      <c r="E249" s="39" t="str">
        <f t="shared" si="8"/>
        <v>10. PK</v>
      </c>
      <c r="F249" s="40">
        <v>46</v>
      </c>
    </row>
    <row r="250" spans="2:6" ht="17.25" thickBot="1" thickTop="1">
      <c r="B250" s="36" t="str">
        <f t="shared" si="6"/>
        <v>CZOP MAJA</v>
      </c>
      <c r="C250" s="37">
        <f>LARGE($E$13:$E$241,47)</f>
        <v>139.00029</v>
      </c>
      <c r="D250" s="59">
        <f t="shared" si="7"/>
        <v>29</v>
      </c>
      <c r="E250" s="39" t="str">
        <f t="shared" si="8"/>
        <v>5. SP NOWINY</v>
      </c>
      <c r="F250" s="40">
        <v>47</v>
      </c>
    </row>
    <row r="251" spans="2:6" ht="17.25" thickBot="1" thickTop="1">
      <c r="B251" s="36" t="str">
        <f t="shared" si="6"/>
        <v>ZIELIŃSKA WIKTORIA</v>
      </c>
      <c r="C251" s="37">
        <f>LARGE($E$13:$E$241,48)</f>
        <v>133.00036</v>
      </c>
      <c r="D251" s="59">
        <f t="shared" si="7"/>
        <v>36</v>
      </c>
      <c r="E251" s="39" t="str">
        <f t="shared" si="8"/>
        <v>6.PSP CHYBICE</v>
      </c>
      <c r="F251" s="40">
        <v>48</v>
      </c>
    </row>
    <row r="252" spans="2:6" ht="17.25" thickBot="1" thickTop="1">
      <c r="B252" s="36" t="str">
        <f t="shared" si="6"/>
        <v>DOBROWSKA MARCELINA</v>
      </c>
      <c r="C252" s="37">
        <f>LARGE($E$13:$E$241,49)</f>
        <v>133.00013</v>
      </c>
      <c r="D252" s="59">
        <f t="shared" si="7"/>
        <v>13</v>
      </c>
      <c r="E252" s="39" t="str">
        <f t="shared" si="8"/>
        <v>3. PSP 2 STĄPORKÓW</v>
      </c>
      <c r="F252" s="40">
        <v>49</v>
      </c>
    </row>
    <row r="253" spans="2:6" ht="17.25" thickBot="1" thickTop="1">
      <c r="B253" s="36" t="str">
        <f t="shared" si="6"/>
        <v>MAKÓWKA JULIA</v>
      </c>
      <c r="C253" s="37">
        <f>LARGE($E$13:$E$241,50)</f>
        <v>132.00021</v>
      </c>
      <c r="D253" s="59">
        <f t="shared" si="7"/>
        <v>21</v>
      </c>
      <c r="E253" s="39" t="str">
        <f t="shared" si="8"/>
        <v>4. PSP 1 STASZÓW</v>
      </c>
      <c r="F253" s="40">
        <v>50</v>
      </c>
    </row>
    <row r="254" spans="2:6" ht="17.25" thickBot="1" thickTop="1">
      <c r="B254" s="36" t="str">
        <f t="shared" si="6"/>
        <v>KOZAK LILA</v>
      </c>
      <c r="C254" s="37">
        <f>LARGE($E$13:$E$241,51)</f>
        <v>126.00041</v>
      </c>
      <c r="D254" s="59">
        <f t="shared" si="7"/>
        <v>41</v>
      </c>
      <c r="E254" s="39" t="str">
        <f t="shared" si="8"/>
        <v>7. SP TUMLIN</v>
      </c>
      <c r="F254" s="40">
        <v>51</v>
      </c>
    </row>
    <row r="255" spans="2:6" ht="17.25" thickBot="1" thickTop="1">
      <c r="B255" s="36" t="str">
        <f t="shared" si="6"/>
        <v>KULIK LENA</v>
      </c>
      <c r="C255" s="37">
        <f>LARGE($E$13:$E$241,52)</f>
        <v>125.00033</v>
      </c>
      <c r="D255" s="59">
        <f t="shared" si="7"/>
        <v>33</v>
      </c>
      <c r="E255" s="39" t="str">
        <f t="shared" si="8"/>
        <v>6.PSP CHYBICE</v>
      </c>
      <c r="F255" s="40">
        <v>52</v>
      </c>
    </row>
    <row r="256" spans="2:6" ht="17.25" thickBot="1" thickTop="1">
      <c r="B256" s="36" t="str">
        <f t="shared" si="6"/>
        <v>TOMASIK IZABELA</v>
      </c>
      <c r="C256" s="37">
        <f>LARGE($E$13:$E$241,53)</f>
        <v>125.00017</v>
      </c>
      <c r="D256" s="59">
        <f t="shared" si="7"/>
        <v>17</v>
      </c>
      <c r="E256" s="39" t="str">
        <f t="shared" si="8"/>
        <v>3. PSP 2 STĄPORKÓW</v>
      </c>
      <c r="F256" s="40">
        <v>53</v>
      </c>
    </row>
    <row r="257" spans="2:6" ht="17.25" thickBot="1" thickTop="1">
      <c r="B257" s="36" t="str">
        <f t="shared" si="6"/>
        <v>JEDYNAK JAGODA</v>
      </c>
      <c r="C257" s="37">
        <f>LARGE($E$13:$E$241,54)</f>
        <v>116.00014</v>
      </c>
      <c r="D257" s="59">
        <f t="shared" si="7"/>
        <v>14</v>
      </c>
      <c r="E257" s="39" t="str">
        <f t="shared" si="8"/>
        <v>3. PSP 2 STĄPORKÓW</v>
      </c>
      <c r="F257" s="40">
        <v>54</v>
      </c>
    </row>
    <row r="258" spans="2:6" ht="17.25" thickBot="1" thickTop="1">
      <c r="B258" s="36" t="str">
        <f t="shared" si="6"/>
        <v>LUBIENIECKA JOANNA TUM </v>
      </c>
      <c r="C258" s="37">
        <f>LARGE($E$13:$E$241,55)</f>
        <v>107.0006</v>
      </c>
      <c r="D258" s="59">
        <f t="shared" si="7"/>
        <v>60</v>
      </c>
      <c r="E258" s="39" t="str">
        <f t="shared" si="8"/>
        <v>10. PK</v>
      </c>
      <c r="F258" s="40">
        <v>55</v>
      </c>
    </row>
    <row r="259" spans="2:6" ht="17.25" thickBot="1" thickTop="1">
      <c r="B259" s="36" t="str">
        <f t="shared" si="6"/>
        <v>TKACZ MAJA NOW</v>
      </c>
      <c r="C259" s="37">
        <f>LARGE($E$13:$E$241,56)</f>
        <v>96.00059</v>
      </c>
      <c r="D259" s="59">
        <f t="shared" si="7"/>
        <v>59</v>
      </c>
      <c r="E259" s="39" t="str">
        <f t="shared" si="8"/>
        <v>10. PK</v>
      </c>
      <c r="F259" s="40">
        <v>56</v>
      </c>
    </row>
    <row r="260" spans="2:6" ht="17.25" thickBot="1" thickTop="1">
      <c r="B260" s="36" t="str">
        <f t="shared" si="6"/>
        <v>PRZEWOŻNIAK GABIERA</v>
      </c>
      <c r="C260" s="37">
        <f>LARGE($E$13:$E$241,57)</f>
        <v>96.00022</v>
      </c>
      <c r="D260" s="59">
        <f t="shared" si="7"/>
        <v>22</v>
      </c>
      <c r="E260" s="39" t="str">
        <f t="shared" si="8"/>
        <v>4. PSP 1 STASZÓW</v>
      </c>
      <c r="F260" s="40">
        <v>57</v>
      </c>
    </row>
    <row r="261" spans="2:6" ht="17.25" thickBot="1" thickTop="1">
      <c r="B261" s="36" t="str">
        <f t="shared" si="6"/>
        <v>LIS EMILKA</v>
      </c>
      <c r="C261" s="37">
        <f>LARGE($E$13:$E$241,58)</f>
        <v>95.0002</v>
      </c>
      <c r="D261" s="59">
        <f t="shared" si="7"/>
        <v>20</v>
      </c>
      <c r="E261" s="39" t="str">
        <f t="shared" si="8"/>
        <v>4. PSP 1 STASZÓW</v>
      </c>
      <c r="F261" s="40">
        <v>58</v>
      </c>
    </row>
    <row r="262" ht="16.5" thickBot="1" thickTop="1">
      <c r="B262" s="42" t="s">
        <v>195</v>
      </c>
    </row>
    <row r="263" spans="2:5" ht="19.5" thickBot="1" thickTop="1">
      <c r="B263" s="66" t="s">
        <v>95</v>
      </c>
      <c r="C263" s="65" t="s">
        <v>175</v>
      </c>
      <c r="D263" s="66" t="s">
        <v>93</v>
      </c>
      <c r="E263" s="66" t="s">
        <v>94</v>
      </c>
    </row>
    <row r="264" spans="2:5" ht="17.25" thickBot="1" thickTop="1">
      <c r="B264" s="68">
        <v>1</v>
      </c>
      <c r="C264" s="69">
        <v>1282.00009</v>
      </c>
      <c r="D264" s="67">
        <v>9</v>
      </c>
      <c r="E264" s="70" t="s">
        <v>176</v>
      </c>
    </row>
    <row r="265" spans="2:5" ht="17.25" thickBot="1" thickTop="1">
      <c r="B265" s="68">
        <v>2</v>
      </c>
      <c r="C265" s="69">
        <v>1087.00002</v>
      </c>
      <c r="D265" s="67">
        <v>2</v>
      </c>
      <c r="E265" s="70" t="s">
        <v>177</v>
      </c>
    </row>
    <row r="266" spans="2:5" ht="17.25" thickBot="1" thickTop="1">
      <c r="B266" s="68">
        <v>3</v>
      </c>
      <c r="C266" s="69">
        <v>1077.00001</v>
      </c>
      <c r="D266" s="67">
        <v>1</v>
      </c>
      <c r="E266" s="70" t="s">
        <v>178</v>
      </c>
    </row>
    <row r="267" spans="2:5" ht="17.25" thickBot="1" thickTop="1">
      <c r="B267" s="68">
        <v>4</v>
      </c>
      <c r="C267" s="69">
        <v>1034.00007</v>
      </c>
      <c r="D267" s="67">
        <v>7</v>
      </c>
      <c r="E267" s="70" t="s">
        <v>179</v>
      </c>
    </row>
    <row r="268" spans="2:5" ht="17.25" thickBot="1" thickTop="1">
      <c r="B268" s="68">
        <v>5</v>
      </c>
      <c r="C268" s="69">
        <v>1023.00008</v>
      </c>
      <c r="D268" s="67">
        <v>8</v>
      </c>
      <c r="E268" s="70" t="s">
        <v>180</v>
      </c>
    </row>
    <row r="269" spans="2:5" ht="17.25" thickBot="1" thickTop="1">
      <c r="B269" s="68">
        <v>6</v>
      </c>
      <c r="C269" s="69">
        <v>846.00005</v>
      </c>
      <c r="D269" s="67">
        <v>5</v>
      </c>
      <c r="E269" s="70" t="s">
        <v>181</v>
      </c>
    </row>
    <row r="270" spans="2:5" ht="17.25" thickBot="1" thickTop="1">
      <c r="B270" s="68">
        <v>7</v>
      </c>
      <c r="C270" s="69">
        <v>809.00003</v>
      </c>
      <c r="D270" s="67">
        <v>3</v>
      </c>
      <c r="E270" s="70" t="s">
        <v>182</v>
      </c>
    </row>
    <row r="271" spans="2:5" ht="17.25" thickBot="1" thickTop="1">
      <c r="B271" s="68">
        <v>8</v>
      </c>
      <c r="C271" s="69">
        <v>807.00006</v>
      </c>
      <c r="D271" s="67">
        <v>6</v>
      </c>
      <c r="E271" s="70" t="s">
        <v>183</v>
      </c>
    </row>
    <row r="272" spans="2:5" ht="17.25" thickBot="1" thickTop="1">
      <c r="B272" s="68">
        <v>9</v>
      </c>
      <c r="C272" s="69">
        <v>738.00004</v>
      </c>
      <c r="D272" s="67">
        <v>4</v>
      </c>
      <c r="E272" s="70" t="s">
        <v>158</v>
      </c>
    </row>
  </sheetData>
  <sheetProtection/>
  <mergeCells count="2">
    <mergeCell ref="A13:B18"/>
    <mergeCell ref="A126:B131"/>
  </mergeCells>
  <hyperlinks>
    <hyperlink ref="C13" location="wyniki!A13" display="wyniki!A13"/>
    <hyperlink ref="D13" location="wyniki!A20" display="wyniki!A20"/>
    <hyperlink ref="E13" location="wyniki!A27" display="wyniki!A27"/>
    <hyperlink ref="F13" location="wyniki!A34" display="wyniki!A34"/>
    <hyperlink ref="G13" location="wyniki!A41" display="wyniki!A41"/>
    <hyperlink ref="H13" location="wyniki!A48" display="wyniki!A48"/>
    <hyperlink ref="I13" location="wyniki!A55" display="wyniki!A55"/>
    <hyperlink ref="J13" location="wyniki!A62" display="wyniki!A62"/>
    <hyperlink ref="K13" location="wyniki!A69" display="wyniki!A69"/>
    <hyperlink ref="L13" location="wyniki!A76" display="wyniki!A76"/>
    <hyperlink ref="M13" location="wyniki!A83" display="wyniki!A83"/>
    <hyperlink ref="N13" location="wyniki!A90" display="wyniki!A90"/>
    <hyperlink ref="C14" location="wyniki!A97" display="wyniki!A97"/>
    <hyperlink ref="D14" location="wyniki!A104" display="wyniki!A104"/>
    <hyperlink ref="E14" location="wyniki!A111" display="wyniki!A111"/>
    <hyperlink ref="F14" location="wyniki!A118" display="wyniki!A118"/>
    <hyperlink ref="G14" location="wyniki!A125" display="wyniki!A125"/>
    <hyperlink ref="H14" location="wyniki!A132" display="wyniki!A132"/>
    <hyperlink ref="I14" location="wyniki!A139" display="wyniki!A139"/>
    <hyperlink ref="J14" location="wyniki!A146" display="wyniki!A146"/>
    <hyperlink ref="K14" location="wyniki!A153" display="wyniki!A153"/>
    <hyperlink ref="L14" location="wyniki!A160" display="wyniki!A160"/>
    <hyperlink ref="M14" location="wyniki!A167" display="wyniki!A167"/>
    <hyperlink ref="N14" location="wyniki!A174" display="wyniki!A174"/>
    <hyperlink ref="C15" location="wyniki!A181" display="wyniki!A181"/>
    <hyperlink ref="D15" location="wyniki!A188" display="wyniki!A188"/>
    <hyperlink ref="E15" location="wyniki!A195" display="wyniki!A195"/>
    <hyperlink ref="F15" location="wyniki!A202" display="wyniki!A202"/>
    <hyperlink ref="G15" location="wyniki!A209" display="wyniki!A209"/>
    <hyperlink ref="H15" location="wyniki!A216" display="wyniki!A216"/>
    <hyperlink ref="I15" location="wyniki!A223" display="wyniki!A223"/>
    <hyperlink ref="J15" location="wyniki!A230" display="wyniki!A230"/>
    <hyperlink ref="K15" location="wyniki!A237" display="wyniki!A237"/>
    <hyperlink ref="L15" location="wyniki!A244" display="wyniki!A244"/>
    <hyperlink ref="M15" location="wyniki!A251" display="wyniki!A251"/>
    <hyperlink ref="N15" location="wyniki!A258" display="wyniki!A258"/>
    <hyperlink ref="C16" location="wyniki!A265" display="wyniki!A265"/>
    <hyperlink ref="D16" location="wyniki!A272" display="wyniki!A272"/>
    <hyperlink ref="E16" location="wyniki!A280" display="wyniki!A280"/>
    <hyperlink ref="F16" location="wyniki!A287" display="wyniki!A287"/>
    <hyperlink ref="A19" location="wyniki!A1" display="wyniki!A1"/>
    <hyperlink ref="A26" location="wyniki!A1" display="wyniki!A1"/>
    <hyperlink ref="A33" location="wyniki!A1" display="wyniki!A1"/>
    <hyperlink ref="A40" location="wyniki!A1" display="wyniki!A1"/>
    <hyperlink ref="A47" location="wyniki!A1" display="wyniki!A1"/>
    <hyperlink ref="A54" location="wyniki!A1" display="wyniki!A1"/>
    <hyperlink ref="A61" location="wyniki!A1" display="wyniki!A1"/>
    <hyperlink ref="A68" location="wyniki!A1" display="wyniki!A1"/>
    <hyperlink ref="C126" location="wyniki!A13" display="wyniki!A13"/>
    <hyperlink ref="D126" location="wyniki!A20" display="wyniki!A20"/>
    <hyperlink ref="E126" location="wyniki!A27" display="wyniki!A27"/>
    <hyperlink ref="F126" location="wyniki!A34" display="wyniki!A34"/>
    <hyperlink ref="G126" location="wyniki!A41" display="wyniki!A41"/>
    <hyperlink ref="H126" location="wyniki!A48" display="wyniki!A48"/>
    <hyperlink ref="I126" location="wyniki!A55" display="wyniki!A55"/>
    <hyperlink ref="J126" location="wyniki!A62" display="wyniki!A62"/>
    <hyperlink ref="K126" location="wyniki!A69" display="wyniki!A69"/>
    <hyperlink ref="L126" location="wyniki!A76" display="wyniki!A76"/>
    <hyperlink ref="M126" location="wyniki!A83" display="wyniki!A83"/>
    <hyperlink ref="N126" location="wyniki!A90" display="wyniki!A90"/>
    <hyperlink ref="C127" location="wyniki!A97" display="wyniki!A97"/>
    <hyperlink ref="D127" location="wyniki!A104" display="wyniki!A104"/>
    <hyperlink ref="E127" location="wyniki!A111" display="wyniki!A111"/>
    <hyperlink ref="F127" location="wyniki!A118" display="wyniki!A118"/>
    <hyperlink ref="G127" location="wyniki!A125" display="wyniki!A125"/>
    <hyperlink ref="H127" location="wyniki!A132" display="wyniki!A132"/>
    <hyperlink ref="I127" location="wyniki!A139" display="wyniki!A139"/>
    <hyperlink ref="J127" location="wyniki!A146" display="wyniki!A146"/>
    <hyperlink ref="K127" location="wyniki!A153" display="wyniki!A153"/>
    <hyperlink ref="L127" location="wyniki!A160" display="wyniki!A160"/>
    <hyperlink ref="M127" location="wyniki!A167" display="wyniki!A167"/>
    <hyperlink ref="N127" location="wyniki!A174" display="wyniki!A174"/>
    <hyperlink ref="C128" location="wyniki!A181" display="wyniki!A181"/>
    <hyperlink ref="D128" location="wyniki!A188" display="wyniki!A188"/>
    <hyperlink ref="E128" location="wyniki!A195" display="wyniki!A195"/>
    <hyperlink ref="F128" location="wyniki!A202" display="wyniki!A202"/>
    <hyperlink ref="G128" location="wyniki!A209" display="wyniki!A209"/>
    <hyperlink ref="H128" location="wyniki!A216" display="wyniki!A216"/>
    <hyperlink ref="I128" location="wyniki!A223" display="wyniki!A223"/>
    <hyperlink ref="J128" location="wyniki!A230" display="wyniki!A230"/>
    <hyperlink ref="K128" location="wyniki!A237" display="wyniki!A237"/>
    <hyperlink ref="L128" location="wyniki!A244" display="wyniki!A244"/>
    <hyperlink ref="M128" location="wyniki!A251" display="wyniki!A251"/>
    <hyperlink ref="N128" location="wyniki!A258" display="wyniki!A258"/>
    <hyperlink ref="C129" location="wyniki!A265" display="wyniki!A265"/>
    <hyperlink ref="D129" location="wyniki!A272" display="wyniki!A272"/>
    <hyperlink ref="E129" location="wyniki!A280" display="wyniki!A280"/>
    <hyperlink ref="F129" location="wyniki!A287" display="wyniki!A287"/>
    <hyperlink ref="A202" location="wyniki!A1" display="wyniki!A1"/>
    <hyperlink ref="A132" location="wyniki!A1" display="wyniki!A1"/>
    <hyperlink ref="A139" location="wyniki!A1" display="wyniki!A1"/>
    <hyperlink ref="A146" location="wyniki!A1" display="wyniki!A1"/>
    <hyperlink ref="A153" location="wyniki!A1" display="wyniki!A1"/>
    <hyperlink ref="A160" location="wyniki!A1" display="wyniki!A1"/>
    <hyperlink ref="A167" location="wyniki!A1" display="wyniki!A1"/>
    <hyperlink ref="A174" location="wyniki!A1" display="wyniki!A1"/>
    <hyperlink ref="A181" location="wyniki!A1" display="wyniki!A1"/>
    <hyperlink ref="A188" location="wyniki!A1" display="wyniki!A1"/>
    <hyperlink ref="A195" location="wyniki!A1" display="wyniki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cloudconvert_16</cp:lastModifiedBy>
  <dcterms:created xsi:type="dcterms:W3CDTF">2023-05-30T17:08:41Z</dcterms:created>
  <dcterms:modified xsi:type="dcterms:W3CDTF">2023-06-05T22:02:02Z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